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85" yWindow="570" windowWidth="12000" windowHeight="6420" tabRatio="959"/>
  </bookViews>
  <sheets>
    <sheet name="Фінплан - зведені показники" sheetId="14" r:id="rId1"/>
    <sheet name="1.Фінансовий результат" sheetId="2" r:id="rId2"/>
    <sheet name="Лист1" sheetId="22" r:id="rId3"/>
    <sheet name="2. Розрахунки з бюджетом" sheetId="19" r:id="rId4"/>
    <sheet name="3. Рух грошових коштів" sheetId="18" r:id="rId5"/>
    <sheet name="4. Кап. інвестиції" sheetId="3" r:id="rId6"/>
    <sheet name="5. Інша інформація" sheetId="10" r:id="rId7"/>
    <sheet name="Перелік посад" sheetId="20" state="hidden" r:id="rId8"/>
    <sheet name="Вих дані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результат'!$4:$6</definedName>
    <definedName name="_xlnm.Print_Titles" localSheetId="3">'2. Розрахунки з бюджетом'!$6:$6</definedName>
    <definedName name="_xlnm.Print_Titles" localSheetId="4">'3. Рух грошових коштів'!$4:$6</definedName>
    <definedName name="_xlnm.Print_Titles" localSheetId="0">'Фінплан - зведені показники'!$15:$15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результат'!$A$1:$J$152</definedName>
    <definedName name="_xlnm.Print_Area" localSheetId="3">'2. Розрахунки з бюджетом'!$A$1:$J$43</definedName>
    <definedName name="_xlnm.Print_Area" localSheetId="4">'3. Рух грошових коштів'!$A$1:$J$84</definedName>
    <definedName name="_xlnm.Print_Area" localSheetId="5">'4. Кап. інвестиції'!$A$1:$J$24</definedName>
    <definedName name="_xlnm.Print_Area" localSheetId="6">'5. Інша інформація'!$A$1:$AC$118</definedName>
    <definedName name="_xlnm.Print_Area" localSheetId="8">'Вих дані'!$A$1:$N$40</definedName>
    <definedName name="_xlnm.Print_Area" localSheetId="0">'Фінплан - зведені показники'!$A$1:$J$54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F11" i="2"/>
  <c r="G11"/>
  <c r="H11"/>
  <c r="I11"/>
  <c r="J11"/>
  <c r="E11"/>
  <c r="D7" i="3"/>
  <c r="F133" i="2"/>
  <c r="G133"/>
  <c r="H133"/>
  <c r="C39" i="19"/>
  <c r="D39"/>
  <c r="E39"/>
  <c r="G24" i="2"/>
  <c r="H24"/>
  <c r="I24"/>
  <c r="J24"/>
  <c r="F24"/>
  <c r="G39"/>
  <c r="H39"/>
  <c r="I39"/>
  <c r="J39"/>
  <c r="F39"/>
  <c r="H63"/>
  <c r="I63"/>
  <c r="J63"/>
  <c r="G63"/>
  <c r="F18"/>
  <c r="H62"/>
  <c r="I62"/>
  <c r="J62"/>
  <c r="G62"/>
  <c r="H61"/>
  <c r="I61"/>
  <c r="J61"/>
  <c r="G61"/>
  <c r="H29"/>
  <c r="I29"/>
  <c r="J29"/>
  <c r="G29"/>
  <c r="H60"/>
  <c r="I60"/>
  <c r="J60"/>
  <c r="G60"/>
  <c r="G35"/>
  <c r="J54"/>
  <c r="P101" i="10"/>
  <c r="Q101"/>
  <c r="R101"/>
  <c r="S101"/>
  <c r="P102"/>
  <c r="Q102"/>
  <c r="R102"/>
  <c r="S102"/>
  <c r="O102"/>
  <c r="O101"/>
  <c r="K101"/>
  <c r="L101"/>
  <c r="M101"/>
  <c r="N101"/>
  <c r="J101"/>
  <c r="E26"/>
  <c r="G42" i="18"/>
  <c r="H42"/>
  <c r="I42"/>
  <c r="J42"/>
  <c r="F42"/>
  <c r="G26"/>
  <c r="H26"/>
  <c r="I26"/>
  <c r="J26"/>
  <c r="F26"/>
  <c r="G18" i="2" l="1"/>
  <c r="H18"/>
  <c r="J18"/>
  <c r="I18"/>
  <c r="G44" i="18"/>
  <c r="H44"/>
  <c r="I44"/>
  <c r="J44"/>
  <c r="F44"/>
  <c r="F65" i="2"/>
  <c r="H65"/>
  <c r="I65"/>
  <c r="J65"/>
  <c r="G65"/>
  <c r="D16" i="3"/>
  <c r="D10"/>
  <c r="I11"/>
  <c r="G38" i="19"/>
  <c r="H38"/>
  <c r="I38"/>
  <c r="J38"/>
  <c r="F142" i="2" l="1"/>
  <c r="G142"/>
  <c r="H142"/>
  <c r="I142"/>
  <c r="J142"/>
  <c r="M59"/>
  <c r="G90"/>
  <c r="H90"/>
  <c r="I90"/>
  <c r="J90"/>
  <c r="H68"/>
  <c r="I68"/>
  <c r="J68"/>
  <c r="G68"/>
  <c r="F34"/>
  <c r="F30"/>
  <c r="F27"/>
  <c r="G27"/>
  <c r="F21"/>
  <c r="F22"/>
  <c r="F17"/>
  <c r="G16"/>
  <c r="F16" s="1"/>
  <c r="H16"/>
  <c r="I16"/>
  <c r="J16"/>
  <c r="F15"/>
  <c r="H15"/>
  <c r="I15"/>
  <c r="J15"/>
  <c r="G15"/>
  <c r="D135"/>
  <c r="D133"/>
  <c r="D132"/>
  <c r="D126"/>
  <c r="D112"/>
  <c r="D101"/>
  <c r="D91"/>
  <c r="D69" s="1"/>
  <c r="D65"/>
  <c r="D64"/>
  <c r="D39"/>
  <c r="E117"/>
  <c r="E65"/>
  <c r="E64"/>
  <c r="H36"/>
  <c r="H17" i="3"/>
  <c r="I17"/>
  <c r="J17"/>
  <c r="G17"/>
  <c r="K100" i="10"/>
  <c r="L100"/>
  <c r="N100"/>
  <c r="F63"/>
  <c r="E63"/>
  <c r="J42"/>
  <c r="J36" i="2" l="1"/>
  <c r="J33"/>
  <c r="E30" i="10"/>
  <c r="E29"/>
  <c r="D29"/>
  <c r="D30"/>
  <c r="D26"/>
  <c r="D18"/>
  <c r="B9" l="1"/>
  <c r="D14" l="1"/>
  <c r="H57" i="2" l="1"/>
  <c r="I57"/>
  <c r="J57"/>
  <c r="G57"/>
  <c r="H71" i="18"/>
  <c r="I71"/>
  <c r="J71"/>
  <c r="G71"/>
  <c r="E91" i="2"/>
  <c r="F27" i="18"/>
  <c r="I27" s="1"/>
  <c r="F10" i="3"/>
  <c r="F48" i="18"/>
  <c r="H12" i="3"/>
  <c r="I12"/>
  <c r="J12"/>
  <c r="G12"/>
  <c r="J27" i="18" l="1"/>
  <c r="H27"/>
  <c r="G27"/>
  <c r="I10" i="3"/>
  <c r="G10"/>
  <c r="J10"/>
  <c r="H10"/>
  <c r="C10"/>
  <c r="F39" i="18"/>
  <c r="J41" i="10" l="1"/>
  <c r="D13" i="22"/>
  <c r="D14"/>
  <c r="D15"/>
  <c r="D16"/>
  <c r="D12"/>
  <c r="F117" i="2"/>
  <c r="F145"/>
  <c r="G89" l="1"/>
  <c r="H89" s="1"/>
  <c r="F143"/>
  <c r="F26" i="19" s="1"/>
  <c r="J8" i="22"/>
  <c r="J4"/>
  <c r="J5"/>
  <c r="J6"/>
  <c r="J7"/>
  <c r="J3"/>
  <c r="J59" i="2"/>
  <c r="H58"/>
  <c r="I58"/>
  <c r="J58"/>
  <c r="G58"/>
  <c r="G129"/>
  <c r="I129" s="1"/>
  <c r="G124"/>
  <c r="I124" s="1"/>
  <c r="I89" l="1"/>
  <c r="J89"/>
  <c r="H129"/>
  <c r="J129"/>
  <c r="H124"/>
  <c r="J124"/>
  <c r="F84"/>
  <c r="G71"/>
  <c r="I71" s="1"/>
  <c r="H71" l="1"/>
  <c r="J71"/>
  <c r="G43" l="1"/>
  <c r="H43" s="1"/>
  <c r="J43"/>
  <c r="I43" l="1"/>
  <c r="B40" i="22"/>
  <c r="B41"/>
  <c r="D36" l="1"/>
  <c r="C36"/>
  <c r="G26"/>
  <c r="G25"/>
  <c r="G22"/>
  <c r="G4"/>
  <c r="G6"/>
  <c r="F27"/>
  <c r="G27"/>
  <c r="D24"/>
  <c r="E24" s="1"/>
  <c r="D23"/>
  <c r="E23" s="1"/>
  <c r="E26"/>
  <c r="E25"/>
  <c r="D27"/>
  <c r="C16"/>
  <c r="C12"/>
  <c r="C15"/>
  <c r="C14"/>
  <c r="C13"/>
  <c r="E16"/>
  <c r="G16" s="1"/>
  <c r="E13"/>
  <c r="G13" s="1"/>
  <c r="E12"/>
  <c r="G12" s="1"/>
  <c r="E7"/>
  <c r="G7" s="1"/>
  <c r="D6"/>
  <c r="E15" s="1"/>
  <c r="G15" s="1"/>
  <c r="D4"/>
  <c r="E4" s="1"/>
  <c r="C91" i="2"/>
  <c r="C66"/>
  <c r="C39"/>
  <c r="J43" i="10" l="1"/>
  <c r="E22" i="22"/>
  <c r="E27" s="1"/>
  <c r="E6"/>
  <c r="E5"/>
  <c r="G5" s="1"/>
  <c r="D17"/>
  <c r="E14"/>
  <c r="E17" l="1"/>
  <c r="F17" s="1"/>
  <c r="G14"/>
  <c r="G17" s="1"/>
  <c r="J103" i="10"/>
  <c r="I74" i="18" l="1"/>
  <c r="F74" s="1"/>
  <c r="J79" i="10" l="1"/>
  <c r="E10" i="3"/>
  <c r="F16"/>
  <c r="G16"/>
  <c r="H16"/>
  <c r="I16"/>
  <c r="J16"/>
  <c r="C16"/>
  <c r="C7" s="1"/>
  <c r="C48" i="14" s="1"/>
  <c r="D18" l="1"/>
  <c r="B27" i="21" l="1"/>
  <c r="D27"/>
  <c r="F27" s="1"/>
  <c r="H58" i="18"/>
  <c r="I58"/>
  <c r="J58"/>
  <c r="G58"/>
  <c r="F144" i="2"/>
  <c r="G53"/>
  <c r="H128"/>
  <c r="H48" i="18" s="1"/>
  <c r="I128" i="2"/>
  <c r="I48" i="18" s="1"/>
  <c r="J128" i="2"/>
  <c r="J48" i="18" s="1"/>
  <c r="G128" i="2"/>
  <c r="G48" i="18" s="1"/>
  <c r="I67" i="2"/>
  <c r="J67"/>
  <c r="G67"/>
  <c r="H67"/>
  <c r="D8" i="22"/>
  <c r="E3"/>
  <c r="G3" s="1"/>
  <c r="G8" l="1"/>
  <c r="H8" s="1"/>
  <c r="F14" i="2" s="1"/>
  <c r="F8" s="1"/>
  <c r="F12" s="1"/>
  <c r="F26" i="21"/>
  <c r="G26" s="1"/>
  <c r="G27"/>
  <c r="E27"/>
  <c r="E26" s="1"/>
  <c r="D26"/>
  <c r="E8" i="22"/>
  <c r="F8" s="1"/>
  <c r="G122" i="2"/>
  <c r="G118"/>
  <c r="G56"/>
  <c r="F55"/>
  <c r="H37"/>
  <c r="I37"/>
  <c r="J37"/>
  <c r="G37"/>
  <c r="I56"/>
  <c r="J56"/>
  <c r="G55"/>
  <c r="G66"/>
  <c r="G70"/>
  <c r="G86"/>
  <c r="G92"/>
  <c r="G113"/>
  <c r="G119"/>
  <c r="G121"/>
  <c r="G123"/>
  <c r="G127"/>
  <c r="G73"/>
  <c r="G104"/>
  <c r="G99"/>
  <c r="G100"/>
  <c r="G84"/>
  <c r="G98"/>
  <c r="G97"/>
  <c r="G94"/>
  <c r="F88"/>
  <c r="G88" s="1"/>
  <c r="G85"/>
  <c r="G79"/>
  <c r="G78"/>
  <c r="G77"/>
  <c r="G76"/>
  <c r="G96"/>
  <c r="G83"/>
  <c r="G111"/>
  <c r="G109"/>
  <c r="G107"/>
  <c r="G110"/>
  <c r="G106"/>
  <c r="G105"/>
  <c r="H55" l="1"/>
  <c r="J8"/>
  <c r="H8"/>
  <c r="I8"/>
  <c r="G8"/>
  <c r="I55"/>
  <c r="G95"/>
  <c r="G108"/>
  <c r="F101"/>
  <c r="G93"/>
  <c r="G91" s="1"/>
  <c r="F91"/>
  <c r="G101"/>
  <c r="J55"/>
  <c r="H120"/>
  <c r="J120"/>
  <c r="I120"/>
  <c r="G120"/>
  <c r="H56"/>
  <c r="J100"/>
  <c r="I100"/>
  <c r="H100"/>
  <c r="M11" i="21"/>
  <c r="G45" i="18"/>
  <c r="J45"/>
  <c r="J40" i="10"/>
  <c r="G12" i="2" l="1"/>
  <c r="F9"/>
  <c r="H9" s="1"/>
  <c r="G117"/>
  <c r="G112" s="1"/>
  <c r="F49" i="18"/>
  <c r="AC101" i="10"/>
  <c r="AB101"/>
  <c r="H41"/>
  <c r="H42"/>
  <c r="H43"/>
  <c r="I9" i="2" l="1"/>
  <c r="G9"/>
  <c r="J9"/>
  <c r="D41" i="10"/>
  <c r="D42"/>
  <c r="D43"/>
  <c r="D25"/>
  <c r="E25"/>
  <c r="F18"/>
  <c r="F17"/>
  <c r="F25" l="1"/>
  <c r="D22"/>
  <c r="F26"/>
  <c r="D21"/>
  <c r="P21"/>
  <c r="P20"/>
  <c r="P19"/>
  <c r="P18"/>
  <c r="P17"/>
  <c r="P14"/>
  <c r="P15" s="1"/>
  <c r="P13"/>
  <c r="P12"/>
  <c r="P11"/>
  <c r="P16"/>
  <c r="E7" i="3" l="1"/>
  <c r="P103" i="10"/>
  <c r="Q103"/>
  <c r="AA103" s="1"/>
  <c r="R103"/>
  <c r="AB103" s="1"/>
  <c r="S103"/>
  <c r="AC103" s="1"/>
  <c r="AA101"/>
  <c r="AC100" l="1"/>
  <c r="Y101"/>
  <c r="Z101"/>
  <c r="AA102"/>
  <c r="Q104"/>
  <c r="AB102"/>
  <c r="R104"/>
  <c r="AC102"/>
  <c r="S104"/>
  <c r="Z103"/>
  <c r="O103"/>
  <c r="Y103" s="1"/>
  <c r="Z102"/>
  <c r="H45" i="18"/>
  <c r="Z100" i="10" l="1"/>
  <c r="G39" i="18"/>
  <c r="G49" s="1"/>
  <c r="G30"/>
  <c r="H30" s="1"/>
  <c r="I30" s="1"/>
  <c r="J30" s="1"/>
  <c r="G25"/>
  <c r="H25" s="1"/>
  <c r="I25" s="1"/>
  <c r="J25" s="1"/>
  <c r="G24"/>
  <c r="H24" s="1"/>
  <c r="I24" s="1"/>
  <c r="J24" s="1"/>
  <c r="H39" l="1"/>
  <c r="H49" s="1"/>
  <c r="G22"/>
  <c r="H22" s="1"/>
  <c r="I22" s="1"/>
  <c r="J22" s="1"/>
  <c r="F29"/>
  <c r="G29" s="1"/>
  <c r="AA100" i="10" l="1"/>
  <c r="AB100"/>
  <c r="I39" i="18"/>
  <c r="I49" s="1"/>
  <c r="J39" l="1"/>
  <c r="J49" s="1"/>
  <c r="G35" i="19"/>
  <c r="G34"/>
  <c r="H34" s="1"/>
  <c r="I34" s="1"/>
  <c r="J34" s="1"/>
  <c r="G33"/>
  <c r="I33" s="1"/>
  <c r="J33" s="1"/>
  <c r="G32"/>
  <c r="I32" s="1"/>
  <c r="J32" s="1"/>
  <c r="G26"/>
  <c r="H26" s="1"/>
  <c r="I26" s="1"/>
  <c r="J26" s="1"/>
  <c r="G20"/>
  <c r="H20" s="1"/>
  <c r="I20" s="1"/>
  <c r="J20" s="1"/>
  <c r="F141" i="2"/>
  <c r="F140" s="1"/>
  <c r="I127"/>
  <c r="G26"/>
  <c r="I26" s="1"/>
  <c r="I123"/>
  <c r="J122"/>
  <c r="H119"/>
  <c r="E101"/>
  <c r="H111"/>
  <c r="H99"/>
  <c r="E69"/>
  <c r="G52"/>
  <c r="H52" s="1"/>
  <c r="H35"/>
  <c r="D15" i="21"/>
  <c r="B15"/>
  <c r="B8"/>
  <c r="H35" i="19" l="1"/>
  <c r="E39" i="2"/>
  <c r="H26"/>
  <c r="H127"/>
  <c r="J127"/>
  <c r="G144"/>
  <c r="H144" s="1"/>
  <c r="I144" s="1"/>
  <c r="J144" s="1"/>
  <c r="G143"/>
  <c r="H143" s="1"/>
  <c r="I143" s="1"/>
  <c r="J143" s="1"/>
  <c r="I119"/>
  <c r="F38" i="19"/>
  <c r="H33"/>
  <c r="H32"/>
  <c r="J26" i="2"/>
  <c r="H123"/>
  <c r="J123"/>
  <c r="I122"/>
  <c r="H122"/>
  <c r="J119"/>
  <c r="I111"/>
  <c r="J111"/>
  <c r="I99"/>
  <c r="J99"/>
  <c r="I52"/>
  <c r="J52"/>
  <c r="I35"/>
  <c r="J35"/>
  <c r="I121"/>
  <c r="I118"/>
  <c r="I113"/>
  <c r="G32"/>
  <c r="I32" s="1"/>
  <c r="I53"/>
  <c r="I110"/>
  <c r="I109"/>
  <c r="I108"/>
  <c r="I107"/>
  <c r="I105"/>
  <c r="I104"/>
  <c r="I98"/>
  <c r="I97"/>
  <c r="I96"/>
  <c r="I95"/>
  <c r="I94"/>
  <c r="I93"/>
  <c r="I88"/>
  <c r="I86"/>
  <c r="J85"/>
  <c r="I84"/>
  <c r="I83"/>
  <c r="I79"/>
  <c r="I78"/>
  <c r="I77"/>
  <c r="I73"/>
  <c r="I70"/>
  <c r="I66"/>
  <c r="G42"/>
  <c r="I42" s="1"/>
  <c r="G41"/>
  <c r="G38"/>
  <c r="I34"/>
  <c r="G31"/>
  <c r="I31" s="1"/>
  <c r="I30"/>
  <c r="I27"/>
  <c r="I22"/>
  <c r="G21" i="21"/>
  <c r="B21"/>
  <c r="F21" s="1"/>
  <c r="A21"/>
  <c r="I35" i="19" l="1"/>
  <c r="I117" i="2"/>
  <c r="I38"/>
  <c r="J41"/>
  <c r="H121"/>
  <c r="I92"/>
  <c r="I91" s="1"/>
  <c r="I106"/>
  <c r="I101" s="1"/>
  <c r="H66"/>
  <c r="J66"/>
  <c r="H104"/>
  <c r="J121"/>
  <c r="J104"/>
  <c r="H118"/>
  <c r="H117" s="1"/>
  <c r="J118"/>
  <c r="J117" s="1"/>
  <c r="H113"/>
  <c r="J113"/>
  <c r="H32"/>
  <c r="J32"/>
  <c r="H53"/>
  <c r="J53"/>
  <c r="H110"/>
  <c r="J110"/>
  <c r="H109"/>
  <c r="J109"/>
  <c r="H108"/>
  <c r="J108"/>
  <c r="H107"/>
  <c r="J107"/>
  <c r="H106"/>
  <c r="J106"/>
  <c r="H105"/>
  <c r="J105"/>
  <c r="H98"/>
  <c r="J98"/>
  <c r="H97"/>
  <c r="J97"/>
  <c r="H96"/>
  <c r="J96"/>
  <c r="H95"/>
  <c r="J95"/>
  <c r="H94"/>
  <c r="J94"/>
  <c r="H93"/>
  <c r="J93"/>
  <c r="H92"/>
  <c r="H91" s="1"/>
  <c r="J92"/>
  <c r="J91" s="1"/>
  <c r="H88"/>
  <c r="J88"/>
  <c r="H86"/>
  <c r="J86"/>
  <c r="I85"/>
  <c r="H85"/>
  <c r="H84"/>
  <c r="J84"/>
  <c r="H83"/>
  <c r="J83"/>
  <c r="H79"/>
  <c r="J79"/>
  <c r="H78"/>
  <c r="J78"/>
  <c r="H77"/>
  <c r="J77"/>
  <c r="H73"/>
  <c r="J73"/>
  <c r="H70"/>
  <c r="J70"/>
  <c r="H42"/>
  <c r="J42"/>
  <c r="I41"/>
  <c r="H41"/>
  <c r="H38"/>
  <c r="J38"/>
  <c r="H34"/>
  <c r="J34"/>
  <c r="H31"/>
  <c r="J31"/>
  <c r="H30"/>
  <c r="J30"/>
  <c r="H27"/>
  <c r="J27"/>
  <c r="H22"/>
  <c r="J22"/>
  <c r="G23"/>
  <c r="I23" s="1"/>
  <c r="F19" i="21"/>
  <c r="G19" s="1"/>
  <c r="G10" i="2"/>
  <c r="I10" s="1"/>
  <c r="F16" i="21"/>
  <c r="G16"/>
  <c r="J35" i="19" l="1"/>
  <c r="J101" i="2"/>
  <c r="H101"/>
  <c r="D20" i="10"/>
  <c r="D16"/>
  <c r="D28" s="1"/>
  <c r="H23" i="2"/>
  <c r="J23"/>
  <c r="H10"/>
  <c r="J10"/>
  <c r="P104" i="10"/>
  <c r="M104"/>
  <c r="N104" l="1"/>
  <c r="K104" l="1"/>
  <c r="L104"/>
  <c r="J104" l="1"/>
  <c r="F11"/>
  <c r="F13"/>
  <c r="F10"/>
  <c r="H29" i="18"/>
  <c r="I29"/>
  <c r="J29"/>
  <c r="E16" i="21" l="1"/>
  <c r="D12"/>
  <c r="E12" s="1"/>
  <c r="D14"/>
  <c r="F14" s="1"/>
  <c r="G14" s="1"/>
  <c r="D9"/>
  <c r="E9" s="1"/>
  <c r="D10"/>
  <c r="E10" s="1"/>
  <c r="D8"/>
  <c r="F8" s="1"/>
  <c r="G8" s="1"/>
  <c r="E64" i="10"/>
  <c r="F64" s="1"/>
  <c r="F69" s="1"/>
  <c r="E14" i="21" l="1"/>
  <c r="F12"/>
  <c r="G12" s="1"/>
  <c r="F10"/>
  <c r="G10" s="1"/>
  <c r="D7"/>
  <c r="F9"/>
  <c r="G9" s="1"/>
  <c r="E8"/>
  <c r="E7" s="1"/>
  <c r="E69" i="10"/>
  <c r="F7" i="21" l="1"/>
  <c r="G7" s="1"/>
  <c r="E22" i="10"/>
  <c r="F22" s="1"/>
  <c r="E21"/>
  <c r="F21" s="1"/>
  <c r="G61" i="18"/>
  <c r="H61"/>
  <c r="I61"/>
  <c r="J61"/>
  <c r="Y102" i="10" l="1"/>
  <c r="O104"/>
  <c r="C41" i="14"/>
  <c r="C43"/>
  <c r="C45"/>
  <c r="C35"/>
  <c r="C36"/>
  <c r="C38"/>
  <c r="C17"/>
  <c r="C18"/>
  <c r="C20"/>
  <c r="C23"/>
  <c r="C25"/>
  <c r="C26"/>
  <c r="C27"/>
  <c r="C28"/>
  <c r="C30"/>
  <c r="C34" l="1"/>
  <c r="C137" i="2"/>
  <c r="C64"/>
  <c r="D40" i="10"/>
  <c r="C19" i="14" l="1"/>
  <c r="H14" i="2" l="1"/>
  <c r="I14"/>
  <c r="J14"/>
  <c r="G14" l="1"/>
  <c r="F29" i="10" l="1"/>
  <c r="F30"/>
  <c r="J18" i="3"/>
  <c r="J7" s="1"/>
  <c r="I18" l="1"/>
  <c r="I7" s="1"/>
  <c r="D45" i="14"/>
  <c r="E45"/>
  <c r="F45"/>
  <c r="D43"/>
  <c r="E43"/>
  <c r="F43"/>
  <c r="D41"/>
  <c r="E41"/>
  <c r="D38"/>
  <c r="D36"/>
  <c r="E36"/>
  <c r="F36"/>
  <c r="D35"/>
  <c r="E35"/>
  <c r="D34"/>
  <c r="D33"/>
  <c r="D30"/>
  <c r="D28"/>
  <c r="E28"/>
  <c r="F28"/>
  <c r="D27"/>
  <c r="E27"/>
  <c r="D26"/>
  <c r="E26"/>
  <c r="D25"/>
  <c r="E25"/>
  <c r="F25"/>
  <c r="D23"/>
  <c r="D22"/>
  <c r="D21"/>
  <c r="E21"/>
  <c r="H18" i="3" l="1"/>
  <c r="H7" s="1"/>
  <c r="I80" i="10"/>
  <c r="J80"/>
  <c r="K80"/>
  <c r="L80"/>
  <c r="G18" i="3" l="1"/>
  <c r="G7" s="1"/>
  <c r="D44" i="10"/>
  <c r="D42" i="14" l="1"/>
  <c r="C42" l="1"/>
  <c r="F35"/>
  <c r="C46" l="1"/>
  <c r="C44"/>
  <c r="D44"/>
  <c r="G145" i="2"/>
  <c r="H145"/>
  <c r="I145"/>
  <c r="J145"/>
  <c r="G141"/>
  <c r="G140" s="1"/>
  <c r="H141"/>
  <c r="H140" s="1"/>
  <c r="I141"/>
  <c r="I140" s="1"/>
  <c r="J141"/>
  <c r="J140" s="1"/>
  <c r="F20" i="14"/>
  <c r="E112" i="2"/>
  <c r="E23" i="14" s="1"/>
  <c r="H112" i="2"/>
  <c r="I112"/>
  <c r="J112"/>
  <c r="D46" i="14" l="1"/>
  <c r="H79" i="10" l="1"/>
  <c r="F22" i="14"/>
  <c r="H80" i="10" l="1"/>
  <c r="G79"/>
  <c r="G80" s="1"/>
  <c r="E16"/>
  <c r="G69" i="2"/>
  <c r="F61" i="18"/>
  <c r="E19" i="10" l="1"/>
  <c r="E31" l="1"/>
  <c r="E27"/>
  <c r="E20" i="14"/>
  <c r="J44" i="10" l="1"/>
  <c r="G19" i="18"/>
  <c r="D19" i="10"/>
  <c r="F16"/>
  <c r="D23"/>
  <c r="D31" l="1"/>
  <c r="D27"/>
  <c r="F27" s="1"/>
  <c r="C40"/>
  <c r="C42"/>
  <c r="C41"/>
  <c r="C43"/>
  <c r="G18" i="18"/>
  <c r="G17" s="1"/>
  <c r="H19"/>
  <c r="F19" i="10"/>
  <c r="I19" i="18" l="1"/>
  <c r="H18"/>
  <c r="H17" s="1"/>
  <c r="D40" i="20"/>
  <c r="I18" i="18" l="1"/>
  <c r="I17" s="1"/>
  <c r="J19"/>
  <c r="J18" s="1"/>
  <c r="J17" s="1"/>
  <c r="D48" i="14"/>
  <c r="D39"/>
  <c r="C37" l="1"/>
  <c r="D20" l="1"/>
  <c r="D138" i="2"/>
  <c r="D37" i="14"/>
  <c r="C33" l="1"/>
  <c r="C39"/>
  <c r="B27" i="20" l="1"/>
  <c r="C40"/>
  <c r="C41" s="1"/>
  <c r="F12" i="10"/>
  <c r="C24" i="20"/>
  <c r="F31" i="10" l="1"/>
  <c r="D24"/>
  <c r="E38" i="14"/>
  <c r="H89" i="10"/>
  <c r="AB104"/>
  <c r="AC104"/>
  <c r="E48" i="14"/>
  <c r="F18" i="3"/>
  <c r="F7" s="1"/>
  <c r="H12" i="2"/>
  <c r="I12"/>
  <c r="J12"/>
  <c r="H137"/>
  <c r="I137"/>
  <c r="J137"/>
  <c r="B17" i="14"/>
  <c r="G17"/>
  <c r="H17"/>
  <c r="I17"/>
  <c r="J17"/>
  <c r="B18"/>
  <c r="B19"/>
  <c r="B20"/>
  <c r="G20"/>
  <c r="H20"/>
  <c r="I20"/>
  <c r="J20"/>
  <c r="B21"/>
  <c r="B22"/>
  <c r="G22"/>
  <c r="H22"/>
  <c r="I22"/>
  <c r="J22"/>
  <c r="B23"/>
  <c r="H23"/>
  <c r="I23"/>
  <c r="J23"/>
  <c r="B24"/>
  <c r="B25"/>
  <c r="G25"/>
  <c r="H25"/>
  <c r="I25"/>
  <c r="J25"/>
  <c r="B26"/>
  <c r="H26"/>
  <c r="I26"/>
  <c r="J26"/>
  <c r="B27"/>
  <c r="H27"/>
  <c r="I27"/>
  <c r="J27"/>
  <c r="B28"/>
  <c r="G28"/>
  <c r="H28"/>
  <c r="I28"/>
  <c r="J28"/>
  <c r="B29"/>
  <c r="B30"/>
  <c r="B31"/>
  <c r="B33"/>
  <c r="B34"/>
  <c r="B35"/>
  <c r="G35"/>
  <c r="H35"/>
  <c r="I35"/>
  <c r="J35"/>
  <c r="B36"/>
  <c r="G36"/>
  <c r="H36"/>
  <c r="I36"/>
  <c r="J36"/>
  <c r="B37"/>
  <c r="B38"/>
  <c r="B39"/>
  <c r="B41"/>
  <c r="B42"/>
  <c r="B43"/>
  <c r="G43"/>
  <c r="H43"/>
  <c r="I43"/>
  <c r="J43"/>
  <c r="B44"/>
  <c r="B45"/>
  <c r="G45"/>
  <c r="H45"/>
  <c r="I45"/>
  <c r="J45"/>
  <c r="B46"/>
  <c r="B48"/>
  <c r="I48"/>
  <c r="J48"/>
  <c r="E12" i="2" l="1"/>
  <c r="N105" i="10"/>
  <c r="S105"/>
  <c r="M105"/>
  <c r="R105"/>
  <c r="F17" i="14"/>
  <c r="G48" l="1"/>
  <c r="H48"/>
  <c r="Y104" i="10" l="1"/>
  <c r="F48" i="14"/>
  <c r="AA104" i="10"/>
  <c r="Z104"/>
  <c r="Y100"/>
  <c r="K105" l="1"/>
  <c r="P105"/>
  <c r="L105"/>
  <c r="Q105"/>
  <c r="O105"/>
  <c r="J105"/>
  <c r="G38" i="14" l="1"/>
  <c r="I38"/>
  <c r="J38"/>
  <c r="E20" i="10" l="1"/>
  <c r="H38" i="14"/>
  <c r="E23" i="10" l="1"/>
  <c r="F23" s="1"/>
  <c r="F20"/>
  <c r="F38" i="14"/>
  <c r="F18" i="18"/>
  <c r="F17" l="1"/>
  <c r="G44" i="2" l="1"/>
  <c r="I44" l="1"/>
  <c r="H44"/>
  <c r="J44"/>
  <c r="G45"/>
  <c r="J45" l="1"/>
  <c r="H45"/>
  <c r="I45"/>
  <c r="G46"/>
  <c r="I46" l="1"/>
  <c r="H46"/>
  <c r="J46"/>
  <c r="G47"/>
  <c r="G48"/>
  <c r="J48" s="1"/>
  <c r="H47" l="1"/>
  <c r="J47"/>
  <c r="I47"/>
  <c r="I48"/>
  <c r="H48"/>
  <c r="G49"/>
  <c r="I49" l="1"/>
  <c r="H49"/>
  <c r="J49"/>
  <c r="G50"/>
  <c r="I50" l="1"/>
  <c r="J50"/>
  <c r="H50"/>
  <c r="G51"/>
  <c r="H51" l="1"/>
  <c r="J51"/>
  <c r="I51"/>
  <c r="J76" l="1"/>
  <c r="J69" s="1"/>
  <c r="I76"/>
  <c r="I69" s="1"/>
  <c r="H76"/>
  <c r="H69" s="1"/>
  <c r="H21" i="14" l="1"/>
  <c r="J21"/>
  <c r="I21"/>
  <c r="E22" l="1"/>
  <c r="G137" i="2" l="1"/>
  <c r="F27" i="14"/>
  <c r="G27"/>
  <c r="G23"/>
  <c r="F26"/>
  <c r="G26"/>
  <c r="F72" i="2"/>
  <c r="F81"/>
  <c r="F80"/>
  <c r="F82"/>
  <c r="F114"/>
  <c r="F112" s="1"/>
  <c r="G21" i="14"/>
  <c r="F23" l="1"/>
  <c r="F69" i="2"/>
  <c r="F137"/>
  <c r="F21" i="14" l="1"/>
  <c r="C21" l="1"/>
  <c r="C138" i="2"/>
  <c r="C22" i="14" l="1"/>
  <c r="C24" l="1"/>
  <c r="C29" l="1"/>
  <c r="C135" i="2"/>
  <c r="C31" i="14" s="1"/>
  <c r="E137" i="2"/>
  <c r="E17" i="14"/>
  <c r="E8" i="2"/>
  <c r="E9" s="1"/>
  <c r="H40" i="10"/>
  <c r="H44" l="1"/>
  <c r="B40" s="1"/>
  <c r="B42" l="1"/>
  <c r="B41"/>
  <c r="B43"/>
  <c r="D17" i="14" l="1"/>
  <c r="F44" i="10"/>
  <c r="C44" s="1"/>
  <c r="D137" i="2" l="1"/>
  <c r="D19" i="14" l="1"/>
  <c r="D24" l="1"/>
  <c r="D31" l="1"/>
  <c r="D29"/>
  <c r="E18" l="1"/>
  <c r="E37"/>
  <c r="E19" l="1"/>
  <c r="E126" i="2"/>
  <c r="E132" l="1"/>
  <c r="E133" s="1"/>
  <c r="E24" i="14"/>
  <c r="E138" i="2" l="1"/>
  <c r="E30" i="14"/>
  <c r="E29"/>
  <c r="E135" i="2"/>
  <c r="E33" i="14" l="1"/>
  <c r="E44"/>
  <c r="E34"/>
  <c r="E31"/>
  <c r="E39" l="1"/>
  <c r="F77" i="18"/>
  <c r="F8" i="19"/>
  <c r="G8"/>
  <c r="G77" i="18" l="1"/>
  <c r="G41" i="14" s="1"/>
  <c r="F41"/>
  <c r="E46"/>
  <c r="E42"/>
  <c r="B45" i="22"/>
  <c r="F40" i="2" s="1"/>
  <c r="F30" i="19" l="1"/>
  <c r="F20" i="2"/>
  <c r="G40"/>
  <c r="G30" i="19" l="1"/>
  <c r="G20" i="2"/>
  <c r="G64" s="1"/>
  <c r="F31" i="19"/>
  <c r="F22"/>
  <c r="F37" i="14" s="1"/>
  <c r="F18"/>
  <c r="H40" i="2"/>
  <c r="J40"/>
  <c r="I40"/>
  <c r="J30" i="19" l="1"/>
  <c r="J20" i="2"/>
  <c r="J64" s="1"/>
  <c r="G31" i="19"/>
  <c r="G22"/>
  <c r="G37" i="14" s="1"/>
  <c r="I30" i="19"/>
  <c r="I20" i="2"/>
  <c r="I64" s="1"/>
  <c r="H30" i="19"/>
  <c r="H20" i="2"/>
  <c r="H64" s="1"/>
  <c r="G18" i="14"/>
  <c r="F64" i="2" l="1"/>
  <c r="M72" s="1"/>
  <c r="H31" i="19"/>
  <c r="H22"/>
  <c r="H37" i="14" s="1"/>
  <c r="I31" i="19"/>
  <c r="I22"/>
  <c r="I37" i="14" s="1"/>
  <c r="J31" i="19"/>
  <c r="J22"/>
  <c r="J37" i="14" s="1"/>
  <c r="J126" i="2"/>
  <c r="J132" s="1"/>
  <c r="J19" i="19" s="1"/>
  <c r="J18" i="14"/>
  <c r="H18"/>
  <c r="H19"/>
  <c r="I18"/>
  <c r="I19"/>
  <c r="J19"/>
  <c r="G126" i="2"/>
  <c r="G132" s="1"/>
  <c r="G19" i="19" s="1"/>
  <c r="G19" i="14"/>
  <c r="F126" i="2" l="1"/>
  <c r="F132" s="1"/>
  <c r="F30" i="14" s="1"/>
  <c r="F19"/>
  <c r="F24"/>
  <c r="H126" i="2"/>
  <c r="H132" s="1"/>
  <c r="H19" i="19" s="1"/>
  <c r="I126" i="2"/>
  <c r="I132" s="1"/>
  <c r="I19" i="19" s="1"/>
  <c r="J24" i="14"/>
  <c r="G24"/>
  <c r="F8" i="18" l="1"/>
  <c r="F14" s="1"/>
  <c r="F29" i="14"/>
  <c r="F135" i="2"/>
  <c r="F138"/>
  <c r="F146" s="1"/>
  <c r="F147" s="1"/>
  <c r="F19" i="19"/>
  <c r="F31" i="18" s="1"/>
  <c r="F9" i="19"/>
  <c r="F16" s="1"/>
  <c r="H24" i="14"/>
  <c r="I24"/>
  <c r="F34"/>
  <c r="H135" i="2"/>
  <c r="H9" i="19" s="1"/>
  <c r="G30" i="14"/>
  <c r="J135" i="2"/>
  <c r="J9" i="19" s="1"/>
  <c r="G138" i="2"/>
  <c r="G146" s="1"/>
  <c r="G147" s="1"/>
  <c r="I29" i="14"/>
  <c r="I135" i="2"/>
  <c r="I9" i="19" s="1"/>
  <c r="I8" i="18"/>
  <c r="I14" s="1"/>
  <c r="J8"/>
  <c r="J14" s="1"/>
  <c r="J29" i="14"/>
  <c r="F31"/>
  <c r="G8" i="18"/>
  <c r="G14" s="1"/>
  <c r="G135" i="2"/>
  <c r="G29" i="14"/>
  <c r="H29"/>
  <c r="H8" i="18"/>
  <c r="H14" s="1"/>
  <c r="G18" i="19" l="1"/>
  <c r="G9"/>
  <c r="I64" i="18"/>
  <c r="I18" i="19"/>
  <c r="I33" i="14" s="1"/>
  <c r="J64" i="18"/>
  <c r="J18" i="19"/>
  <c r="H64" i="18"/>
  <c r="H18" i="19"/>
  <c r="F64" i="18"/>
  <c r="F75" s="1"/>
  <c r="F44" i="14" s="1"/>
  <c r="G64" i="18"/>
  <c r="G75" s="1"/>
  <c r="I75"/>
  <c r="H75"/>
  <c r="H33" i="14"/>
  <c r="J75" i="18"/>
  <c r="J33" i="14"/>
  <c r="I30"/>
  <c r="I138" i="2"/>
  <c r="I146" s="1"/>
  <c r="I147" s="1"/>
  <c r="G31" i="18"/>
  <c r="G34" i="14"/>
  <c r="H34"/>
  <c r="H31" i="18"/>
  <c r="H39" i="19"/>
  <c r="J30" i="14"/>
  <c r="J138" i="2"/>
  <c r="J146" s="1"/>
  <c r="J147" s="1"/>
  <c r="H30" i="14"/>
  <c r="H138" i="2"/>
  <c r="H146" s="1"/>
  <c r="H147" s="1"/>
  <c r="I31" i="18"/>
  <c r="I34" i="14"/>
  <c r="J34"/>
  <c r="J31" i="18"/>
  <c r="J39" i="19"/>
  <c r="H31" i="14"/>
  <c r="G31"/>
  <c r="J31"/>
  <c r="I31"/>
  <c r="J39" l="1"/>
  <c r="J28" i="18"/>
  <c r="F18" i="19"/>
  <c r="F39" s="1"/>
  <c r="H39" i="14"/>
  <c r="H28" i="18"/>
  <c r="I39" i="19"/>
  <c r="G16"/>
  <c r="H8" s="1"/>
  <c r="H16" s="1"/>
  <c r="I8" s="1"/>
  <c r="J44" i="14"/>
  <c r="H44"/>
  <c r="I44"/>
  <c r="F33" l="1"/>
  <c r="F39"/>
  <c r="F28" i="18"/>
  <c r="F23" s="1"/>
  <c r="F32" s="1"/>
  <c r="I39" i="14"/>
  <c r="I28" i="18"/>
  <c r="H23"/>
  <c r="H32" s="1"/>
  <c r="G33" i="14"/>
  <c r="G39" i="19"/>
  <c r="I16"/>
  <c r="J8" s="1"/>
  <c r="J16" s="1"/>
  <c r="G44" i="14"/>
  <c r="G39" l="1"/>
  <c r="G28" i="18"/>
  <c r="G23" s="1"/>
  <c r="G32" s="1"/>
  <c r="F79"/>
  <c r="F46" i="14" s="1"/>
  <c r="F80" i="18"/>
  <c r="F42" i="14"/>
  <c r="I23" i="18"/>
  <c r="I32" s="1"/>
  <c r="H80"/>
  <c r="H42" i="14"/>
  <c r="G79" i="18" l="1"/>
  <c r="G42" i="14"/>
  <c r="G80" i="18"/>
  <c r="J23"/>
  <c r="J32" s="1"/>
  <c r="I80"/>
  <c r="I42" i="14"/>
  <c r="G46" l="1"/>
  <c r="H77" i="18"/>
  <c r="J42" i="14"/>
  <c r="J80" i="18"/>
  <c r="H79" l="1"/>
  <c r="H41" i="14"/>
  <c r="H46" l="1"/>
  <c r="I77" i="18"/>
  <c r="I79" l="1"/>
  <c r="I41" i="14"/>
  <c r="F14" i="10"/>
  <c r="E9"/>
  <c r="E28" s="1"/>
  <c r="F28" s="1"/>
  <c r="J77" i="18" l="1"/>
  <c r="I46" i="14"/>
  <c r="F9" i="10"/>
  <c r="E24"/>
  <c r="F24" s="1"/>
  <c r="J79" i="18" l="1"/>
  <c r="J46" i="14" s="1"/>
  <c r="J41"/>
</calcChain>
</file>

<file path=xl/comments1.xml><?xml version="1.0" encoding="utf-8"?>
<comments xmlns="http://schemas.openxmlformats.org/spreadsheetml/2006/main">
  <authors>
    <author>Jenya</author>
    <author>Dream Admin</author>
    <author>Admin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7964 м.куб * 100 грн. новий тариф = 796,400 тис.грн.</t>
        </r>
      </text>
    </comment>
    <comment ref="D22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65000 м.куб. * 8,29 грн.
</t>
        </r>
      </text>
    </comment>
    <comment ref="E22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87145 м.куб. * 8,29 грн собів 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22% від заробітної плати</t>
        </r>
      </text>
    </comment>
    <comment ref="D41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51000*12міс*29,58 грн.
</t>
        </r>
      </text>
    </comment>
    <comment ref="F41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51000*12міс*29,58 грн.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Згідно тарифу</t>
        </r>
      </text>
    </comment>
    <comment ref="A114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381 рах
</t>
        </r>
      </text>
    </comment>
    <comment ref="A118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131 рах
</t>
        </r>
      </text>
    </comment>
    <comment ref="A119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201-209</t>
        </r>
      </text>
    </comment>
    <comment ref="A120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6414</t>
        </r>
      </text>
    </comment>
    <comment ref="A123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6510,6511</t>
        </r>
      </text>
    </comment>
    <comment ref="D133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18%</t>
        </r>
      </text>
    </comment>
  </commentList>
</comments>
</file>

<file path=xl/comments2.xml><?xml version="1.0" encoding="utf-8"?>
<comments xmlns="http://schemas.openxmlformats.org/spreadsheetml/2006/main">
  <authors>
    <author>Jenya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15% від чистого прибутку</t>
        </r>
      </text>
    </comment>
  </commentList>
</comments>
</file>

<file path=xl/comments3.xml><?xml version="1.0" encoding="utf-8"?>
<comments xmlns="http://schemas.openxmlformats.org/spreadsheetml/2006/main">
  <authors>
    <author>Dream Admin</author>
  </authors>
  <commentLis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=('1.Фінансовий результат'!F8*1000-1560000)/1000*95%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=('1.Фінансовий результат'!F8*1000-1560000)/1000*95%</t>
        </r>
      </text>
    </comment>
  </commentList>
</comments>
</file>

<file path=xl/comments4.xml><?xml version="1.0" encoding="utf-8"?>
<comments xmlns="http://schemas.openxmlformats.org/spreadsheetml/2006/main">
  <authors>
    <author>Jenya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Директор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6
 чоловік</t>
        </r>
      </text>
    </comment>
  </commentList>
</comments>
</file>

<file path=xl/comments5.xml><?xml version="1.0" encoding="utf-8"?>
<comments xmlns="http://schemas.openxmlformats.org/spreadsheetml/2006/main">
  <authors>
    <author>Jenya</author>
  </authors>
  <commentLis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Jenya:</t>
        </r>
        <r>
          <rPr>
            <sz val="9"/>
            <color indexed="81"/>
            <rFont val="Tahoma"/>
            <family val="2"/>
            <charset val="204"/>
          </rPr>
          <t xml:space="preserve">
по факту 2016 року
</t>
        </r>
      </text>
    </comment>
  </commentList>
</comments>
</file>

<file path=xl/sharedStrings.xml><?xml version="1.0" encoding="utf-8"?>
<sst xmlns="http://schemas.openxmlformats.org/spreadsheetml/2006/main" count="1027" uniqueCount="698">
  <si>
    <t>капітальне будівництво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</si>
  <si>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</si>
  <si>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</si>
  <si>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</si>
  <si>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</si>
  <si>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</si>
  <si>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</si>
  <si>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</si>
  <si>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</si>
  <si>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</si>
  <si>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</si>
  <si>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</si>
  <si>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</si>
  <si>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</si>
  <si>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</si>
  <si>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</si>
  <si>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</si>
  <si>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</si>
  <si>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</si>
  <si>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</si>
  <si>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</si>
  <si>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</si>
  <si>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</si>
  <si>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</si>
  <si>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</si>
  <si>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</si>
  <si>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</si>
  <si>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</si>
  <si>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</si>
  <si>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</si>
  <si>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</si>
  <si>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</si>
  <si>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</si>
  <si>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</si>
  <si>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</si>
  <si>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</si>
  <si>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</si>
  <si>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</si>
  <si>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</si>
  <si>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</si>
  <si>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</si>
  <si>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</si>
  <si>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</si>
  <si>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</si>
  <si>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</si>
  <si>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</si>
  <si>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</si>
  <si>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</si>
  <si>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</si>
  <si>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</si>
  <si>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</si>
  <si>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</si>
  <si>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</si>
  <si>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</si>
  <si>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</si>
  <si>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</si>
  <si>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</si>
  <si>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</si>
  <si>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</si>
  <si>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</si>
  <si>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</si>
  <si>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</si>
  <si>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</si>
  <si>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</si>
  <si>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</si>
  <si>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</si>
  <si>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</si>
  <si>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</si>
  <si>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</si>
  <si>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</si>
  <si>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</si>
  <si>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</si>
  <si>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</si>
  <si>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</si>
  <si>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</si>
  <si>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</si>
  <si>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</si>
  <si>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</si>
  <si>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</si>
  <si>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</si>
  <si>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</si>
  <si>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</si>
  <si>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Інші фінансові доходи (розшифрувати)</t>
  </si>
  <si>
    <t>інші адміністративні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</si>
  <si>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</si>
  <si>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</si>
  <si>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</si>
  <si>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</si>
  <si>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</si>
  <si>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</si>
  <si>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</si>
  <si>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</si>
  <si>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</si>
  <si>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</si>
  <si>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</si>
  <si>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</si>
  <si>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</si>
  <si>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</si>
  <si>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</si>
  <si>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</si>
  <si>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</si>
  <si>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</si>
  <si>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</si>
  <si>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</si>
  <si>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</si>
  <si>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</si>
  <si>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</si>
  <si>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</si>
  <si>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</si>
  <si>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</si>
  <si>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</si>
  <si>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</si>
  <si>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</si>
  <si>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</si>
  <si>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</si>
  <si>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</si>
  <si>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</si>
  <si>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</si>
  <si>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</si>
  <si>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</si>
  <si>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</si>
  <si>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</si>
  <si>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</si>
  <si>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</si>
  <si>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</si>
  <si>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</si>
  <si>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</si>
  <si>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</si>
  <si>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</si>
  <si>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</si>
  <si>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</si>
  <si>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</si>
  <si>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</si>
  <si>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</si>
  <si>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</si>
  <si>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</si>
  <si>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</si>
  <si>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</si>
  <si>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</si>
  <si>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</si>
  <si>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</si>
  <si>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</si>
  <si>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</si>
  <si>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</si>
  <si>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</si>
  <si>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</si>
  <si>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</si>
  <si>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</si>
  <si>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</si>
  <si>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</si>
  <si>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</si>
  <si>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</si>
  <si>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</si>
  <si>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</si>
  <si>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</si>
  <si>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</si>
  <si>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</si>
  <si>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</si>
  <si>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</si>
  <si>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</si>
  <si>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</si>
  <si>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</si>
  <si>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</si>
  <si>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</si>
  <si>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</si>
  <si>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</si>
  <si>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</si>
  <si>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</si>
  <si>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</si>
  <si>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</si>
  <si>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</si>
  <si>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</si>
  <si>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</si>
  <si>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</si>
  <si>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</si>
  <si>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</si>
  <si>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</si>
  <si>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</si>
  <si>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</si>
  <si>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</si>
  <si>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</si>
  <si>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</si>
  <si>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</si>
  <si>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</si>
  <si>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</si>
  <si>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</si>
  <si>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</si>
  <si>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</si>
  <si>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</si>
  <si>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</si>
  <si>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</si>
  <si>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</si>
  <si>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</si>
  <si>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</si>
  <si>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</si>
  <si>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</si>
  <si>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</si>
  <si>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</si>
  <si>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</si>
  <si>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</si>
  <si>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</si>
  <si>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</si>
  <si>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</si>
  <si>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</si>
  <si>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</si>
  <si>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</si>
  <si>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</si>
  <si>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</si>
  <si>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</si>
  <si>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</si>
  <si>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Мета використання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</si>
  <si>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</si>
  <si>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</si>
  <si>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</si>
  <si>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</si>
  <si>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</si>
  <si>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</si>
  <si>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</si>
  <si>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</si>
  <si>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</si>
  <si>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</si>
  <si>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</si>
  <si>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</si>
  <si>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</si>
  <si>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</si>
  <si>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</si>
  <si>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</si>
  <si>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I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</si>
  <si>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</si>
  <si>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</si>
  <si>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</si>
  <si>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</si>
  <si>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</si>
  <si>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</si>
  <si>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</si>
  <si>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</si>
  <si>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</si>
  <si>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</si>
  <si>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</si>
  <si>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</si>
  <si>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</si>
  <si>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</si>
  <si>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</si>
  <si>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</si>
  <si>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</si>
  <si>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</si>
  <si>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</si>
  <si>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</si>
  <si>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</si>
  <si>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</si>
  <si>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</si>
  <si>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</si>
  <si>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</si>
  <si>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</si>
  <si>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</si>
  <si>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 xml:space="preserve">Зокрема за кварталами </t>
  </si>
  <si>
    <t>Плановий рік до прогнозу на поточний рік, %</t>
  </si>
  <si>
    <t xml:space="preserve"> Пояснення у разі збільшення витрат на оплату праці в плановому році порівняно з прогнозом поточного року </t>
  </si>
  <si>
    <t xml:space="preserve">ФІНАНСОВИЙ ПЛАН </t>
  </si>
  <si>
    <t xml:space="preserve">КОМУНАЛЬНОГО ПІДПРИЄМСТВА "ЧЕРКАСЬКА СЛУЖБА ЧИСТОТИ" </t>
  </si>
  <si>
    <t xml:space="preserve">      2. Інформація про бізнес підприємства (код рядка 1040 "Чистий дохід від реалізації продукції (товарів, робіт, послуг)" фінансового плану)</t>
  </si>
  <si>
    <t>Керівники</t>
  </si>
  <si>
    <t>Директор</t>
  </si>
  <si>
    <t>Заступник директора</t>
  </si>
  <si>
    <t>Головний інженер</t>
  </si>
  <si>
    <t>Головний бухгалтер</t>
  </si>
  <si>
    <t>Начальник аб відділу</t>
  </si>
  <si>
    <t>Начальник полігону</t>
  </si>
  <si>
    <t>Начальник притулку</t>
  </si>
  <si>
    <t>Економіст</t>
  </si>
  <si>
    <t>Екон з бух обліку</t>
  </si>
  <si>
    <t>Інж з охорони праці</t>
  </si>
  <si>
    <t>юрисконсульт</t>
  </si>
  <si>
    <t>Інспектор з кадрів</t>
  </si>
  <si>
    <t>Серетар-друкарка</t>
  </si>
  <si>
    <t>бухгалтер</t>
  </si>
  <si>
    <t>інспектор 5</t>
  </si>
  <si>
    <t>Агент 4</t>
  </si>
  <si>
    <t>Майстер</t>
  </si>
  <si>
    <t>Фахівець</t>
  </si>
  <si>
    <t>Двірник 2</t>
  </si>
  <si>
    <t xml:space="preserve">Прибиральник </t>
  </si>
  <si>
    <t>Слюсар сант</t>
  </si>
  <si>
    <t>Оператор сл руху</t>
  </si>
  <si>
    <t>Робітник з благоустрою 6</t>
  </si>
  <si>
    <t>Ловець 2</t>
  </si>
  <si>
    <t>Ветлікар</t>
  </si>
  <si>
    <t>Фельдшер</t>
  </si>
  <si>
    <t>Бульдозеристи 4</t>
  </si>
  <si>
    <t>Водії легкових 3</t>
  </si>
  <si>
    <t>Водії бочки 2</t>
  </si>
  <si>
    <t>Водії інші 1</t>
  </si>
  <si>
    <t>Всього</t>
  </si>
  <si>
    <t>Машиніст котельні 2</t>
  </si>
  <si>
    <t>Баранова Ю. М.</t>
  </si>
  <si>
    <t>Волик О. С.</t>
  </si>
  <si>
    <t>Мамалига В. В.</t>
  </si>
  <si>
    <t>Роговий В. В.</t>
  </si>
  <si>
    <t>Роговик Є. С.</t>
  </si>
  <si>
    <t>Савенко О. С.</t>
  </si>
  <si>
    <t>Дмитрієнко А. П.</t>
  </si>
  <si>
    <t>Крижня В. В.</t>
  </si>
  <si>
    <t>Рудик Т. В.</t>
  </si>
  <si>
    <t>Хмельов В. О.</t>
  </si>
  <si>
    <t>0.00</t>
  </si>
  <si>
    <t>Абукаре О. О.</t>
  </si>
  <si>
    <t>Клименко Ю. В.</t>
  </si>
  <si>
    <t>ВСЬОГО</t>
  </si>
  <si>
    <t>Всього за рік</t>
  </si>
  <si>
    <t>Підсумок нарахувань та утримань</t>
  </si>
  <si>
    <t>за 9 Місяців 2015 р.</t>
  </si>
  <si>
    <t>Нарахування</t>
  </si>
  <si>
    <t>Нараховано</t>
  </si>
  <si>
    <t>Дні</t>
  </si>
  <si>
    <t>Години</t>
  </si>
  <si>
    <t>Утримання</t>
  </si>
  <si>
    <t>Утримано</t>
  </si>
  <si>
    <t>Оклад/тариф</t>
  </si>
  <si>
    <t>1202185.15</t>
  </si>
  <si>
    <t>71156.00</t>
  </si>
  <si>
    <t>Профспілковий внесок</t>
  </si>
  <si>
    <t>18022.79</t>
  </si>
  <si>
    <t>Щомісячна премія</t>
  </si>
  <si>
    <t>453124.25</t>
  </si>
  <si>
    <t xml:space="preserve"> </t>
  </si>
  <si>
    <t>Податок з доходів ФО</t>
  </si>
  <si>
    <t>327779.07</t>
  </si>
  <si>
    <t>Відпускні</t>
  </si>
  <si>
    <t>212144.72</t>
  </si>
  <si>
    <t>ЄСВ з працівника</t>
  </si>
  <si>
    <t>78363.96</t>
  </si>
  <si>
    <t>Допл. за работу у свята (вихідні)</t>
  </si>
  <si>
    <t>13425.46</t>
  </si>
  <si>
    <t>974.00</t>
  </si>
  <si>
    <t>ЄСВ з працівника лікарняні</t>
  </si>
  <si>
    <t>201.75</t>
  </si>
  <si>
    <t>Премія до дня комунальника</t>
  </si>
  <si>
    <t>13050.00</t>
  </si>
  <si>
    <t>ЄСВ з працівника ЦПХ</t>
  </si>
  <si>
    <t>1325.57</t>
  </si>
  <si>
    <t>Індексація зарплати</t>
  </si>
  <si>
    <t>154683.35</t>
  </si>
  <si>
    <t>Військовий збір з працівника</t>
  </si>
  <si>
    <t>33567.70</t>
  </si>
  <si>
    <t>Допл. за ремонт</t>
  </si>
  <si>
    <t>12797.35</t>
  </si>
  <si>
    <t>781.00</t>
  </si>
  <si>
    <t>Аліменти</t>
  </si>
  <si>
    <t>17188.88</t>
  </si>
  <si>
    <t>Допл. за класность</t>
  </si>
  <si>
    <t>16539.51</t>
  </si>
  <si>
    <t>Пошт. збір (відсоток банку)</t>
  </si>
  <si>
    <t>Премія за вант.розв. роботи</t>
  </si>
  <si>
    <t>Допл. за розш. зони обслугов.</t>
  </si>
  <si>
    <t>30625.93</t>
  </si>
  <si>
    <t>Допл. за нічний час</t>
  </si>
  <si>
    <t>12102.49</t>
  </si>
  <si>
    <t>2981.00</t>
  </si>
  <si>
    <t>Допл. за суміщ. посад</t>
  </si>
  <si>
    <t>6162.16</t>
  </si>
  <si>
    <t>568.00</t>
  </si>
  <si>
    <t>Оплата за договором ГПХ</t>
  </si>
  <si>
    <t>50982.25</t>
  </si>
  <si>
    <t>Допл. за керів. бригадою</t>
  </si>
  <si>
    <t>6207.75</t>
  </si>
  <si>
    <t>Оплата годин за середнім</t>
  </si>
  <si>
    <t>4868.28</t>
  </si>
  <si>
    <t>180.00</t>
  </si>
  <si>
    <t>Оплата часов по среднему (мобилизация)</t>
  </si>
  <si>
    <t>37135.40</t>
  </si>
  <si>
    <t>1473.00</t>
  </si>
  <si>
    <t>4139.94</t>
  </si>
  <si>
    <t>Оплата днів за середнім</t>
  </si>
  <si>
    <t>2533.80</t>
  </si>
  <si>
    <t>Допл. за відпускними</t>
  </si>
  <si>
    <t>Надбавка персональна</t>
  </si>
  <si>
    <t>22835.56</t>
  </si>
  <si>
    <t>Оплата лікарн. соцстр.</t>
  </si>
  <si>
    <t>5210.83</t>
  </si>
  <si>
    <t>Лікарняні за рах. підпр.</t>
  </si>
  <si>
    <t>4876.43</t>
  </si>
  <si>
    <t>Компенс. відпустки</t>
  </si>
  <si>
    <t>8968.32</t>
  </si>
  <si>
    <t>Допл. за грузчика</t>
  </si>
  <si>
    <t>382.35</t>
  </si>
  <si>
    <t>Вихідна допомога</t>
  </si>
  <si>
    <t>7069.42</t>
  </si>
  <si>
    <t>Всього нараховано:</t>
  </si>
  <si>
    <t>78113.00</t>
  </si>
  <si>
    <t>Всього утримано:</t>
  </si>
  <si>
    <t>476449.72</t>
  </si>
  <si>
    <t>Вивезення побутових відходів</t>
  </si>
  <si>
    <t>Вивезення рідких побутових відходів</t>
  </si>
  <si>
    <t>Плановий рік (2016 рік)</t>
  </si>
  <si>
    <t>Прогноз на поточний рік (2015 рік)</t>
  </si>
  <si>
    <t>Факт минулого року                    (2014 рік)</t>
  </si>
  <si>
    <t>витрати на сплату податків</t>
  </si>
  <si>
    <t>витрати на послуги по перевезенню ТПВ</t>
  </si>
  <si>
    <t>1058/1</t>
  </si>
  <si>
    <t>1058/2</t>
  </si>
  <si>
    <t>1058/3</t>
  </si>
  <si>
    <t>витрати на злив стоків</t>
  </si>
  <si>
    <t>1058/4</t>
  </si>
  <si>
    <t>витрати на послуги з ремонту автотранспорту</t>
  </si>
  <si>
    <t>1058/5</t>
  </si>
  <si>
    <t>витрати на послуги охорони</t>
  </si>
  <si>
    <t>1058/6</t>
  </si>
  <si>
    <t>витрати на оренду контейнерів</t>
  </si>
  <si>
    <t>1058/7</t>
  </si>
  <si>
    <t>витрати на придбання корму для собак</t>
  </si>
  <si>
    <t>1058/8</t>
  </si>
  <si>
    <t>1058/9</t>
  </si>
  <si>
    <t>витрати матеріалів, запасних частин</t>
  </si>
  <si>
    <t>1058/10</t>
  </si>
  <si>
    <t>1102/1</t>
  </si>
  <si>
    <t>послуги банків з приймання комунальних платежів</t>
  </si>
  <si>
    <t>послуги по супроводу програми 1С</t>
  </si>
  <si>
    <t>1102/2</t>
  </si>
  <si>
    <t>1102/3</t>
  </si>
  <si>
    <t>витрати на придбання канцелярського приладдя, конвертів</t>
  </si>
  <si>
    <t>1102/4</t>
  </si>
  <si>
    <t>1102/5</t>
  </si>
  <si>
    <t>1102/6</t>
  </si>
  <si>
    <t>1102/7</t>
  </si>
  <si>
    <t>витрати на придбання канцелярського приладдя</t>
  </si>
  <si>
    <t>витрати на придбання конвертів</t>
  </si>
  <si>
    <t>1125/1</t>
  </si>
  <si>
    <t>1125/2</t>
  </si>
  <si>
    <t>сплата місцевих податків</t>
  </si>
  <si>
    <t>1125/3</t>
  </si>
  <si>
    <t>витрати на мобільні переговори</t>
  </si>
  <si>
    <t>1125/4</t>
  </si>
  <si>
    <t>1125/5</t>
  </si>
  <si>
    <t>виплата пільгової пенсії (зварювальники)</t>
  </si>
  <si>
    <t>1125/6</t>
  </si>
  <si>
    <t>Фінансові витрати (відсотки за корист. овердрафтом)</t>
  </si>
  <si>
    <t>нарахування амортизації на безкоштовно отримані ОС</t>
  </si>
  <si>
    <t>Збір за  розміщення відходів в спец.відвед.місцях, ДПІ у Черкаському р-ні</t>
  </si>
  <si>
    <t>Збір за забруднення навколиш. природн. середовища стаціонар. джер. забруднення</t>
  </si>
  <si>
    <t>Податок на землю (район)</t>
  </si>
  <si>
    <t>Податок на землю</t>
  </si>
  <si>
    <t>Податок на воду</t>
  </si>
  <si>
    <t>Збір за викиди стаціонарними джерелами забруд., ДПІ у Черк.рай.</t>
  </si>
  <si>
    <t>2014 рік</t>
  </si>
  <si>
    <t>дохід від оренди контейнерів, автомобілів та невиробничих приміщень</t>
  </si>
  <si>
    <t>інші витрати операційної діяльності (оплата стац. зв’язку, відшкод. комун. послуг., оплата штрафу)</t>
  </si>
  <si>
    <t>Від вивезення ТПВ</t>
  </si>
  <si>
    <t>Від захоронення ТПВ по талонах</t>
  </si>
  <si>
    <t>Від вивезення РПВ</t>
  </si>
  <si>
    <t>Відлов та утримання безпритульних тварин</t>
  </si>
  <si>
    <t>нарахування резурву відпусток</t>
  </si>
  <si>
    <t>1058/11</t>
  </si>
  <si>
    <t>витрати на страхування</t>
  </si>
  <si>
    <t>0,0</t>
  </si>
  <si>
    <t>1102/8</t>
  </si>
  <si>
    <t>послуги банків з розрахунково-касового обслуговування</t>
  </si>
  <si>
    <t>витрати на обслуговування комп’ютерної техніки, РРО, заправка картриджів</t>
  </si>
  <si>
    <t>амортизація ОС</t>
  </si>
  <si>
    <t>інші витрати виробничої діяльності (послуги доставки вантажу, витрати на опалення приміщень КП "ЧСЧ", ремонт дороги полігону, витрати на охорону праці та інші поточні витрати)</t>
  </si>
  <si>
    <t>інші поточні адміністративні витрати</t>
  </si>
  <si>
    <t>2146/2</t>
  </si>
  <si>
    <t>2146/3</t>
  </si>
  <si>
    <t>2146/4</t>
  </si>
  <si>
    <t>2146/6</t>
  </si>
  <si>
    <t>2146/7</t>
  </si>
  <si>
    <t>2146/8</t>
  </si>
  <si>
    <t>Реалізація продукції (товарів, робіт, послуг)</t>
  </si>
  <si>
    <t>Надходження від:</t>
  </si>
  <si>
    <t>Витрачання на оплату:</t>
  </si>
  <si>
    <t>Товарів, робіт, послуг</t>
  </si>
  <si>
    <t>Праці</t>
  </si>
  <si>
    <t>Відрахувань на соціальні заходи</t>
  </si>
  <si>
    <t>Витрачання на оплату зобовязань з ПДВ</t>
  </si>
  <si>
    <t>Інші витрачання</t>
  </si>
  <si>
    <t>3070/1</t>
  </si>
  <si>
    <t>3070/2</t>
  </si>
  <si>
    <t xml:space="preserve"> 3070/1/1</t>
  </si>
  <si>
    <t xml:space="preserve"> 3070/1/2</t>
  </si>
  <si>
    <t xml:space="preserve"> 3070/2/1</t>
  </si>
  <si>
    <t xml:space="preserve"> 3070/2/2</t>
  </si>
  <si>
    <t xml:space="preserve"> 3070/2/3</t>
  </si>
  <si>
    <t xml:space="preserve"> 3070/2/4</t>
  </si>
  <si>
    <t xml:space="preserve"> 3070/2/5</t>
  </si>
  <si>
    <t xml:space="preserve"> 3070/2/6</t>
  </si>
  <si>
    <t xml:space="preserve"> 3070/2/7</t>
  </si>
  <si>
    <t xml:space="preserve"> 3070/1/3</t>
  </si>
  <si>
    <t xml:space="preserve"> 3070/1/4</t>
  </si>
  <si>
    <t>Повернення інших податків і зборів</t>
  </si>
  <si>
    <t>Боржників неустойки</t>
  </si>
  <si>
    <t>Інші надходження</t>
  </si>
  <si>
    <t>Повернення авансів</t>
  </si>
  <si>
    <t>Грошові кошти від операційної діяльності, у т.ч.:</t>
  </si>
  <si>
    <t>Цільове фінансування  (оплата пільг та субсидій)</t>
  </si>
  <si>
    <t>кількість продукції/             наданих послуг, одиниця виміру, м.куб. ТПВ</t>
  </si>
  <si>
    <t>Утримання безпритульних тварин (середня кількість тварин на утриманні)</t>
  </si>
  <si>
    <t>План із залучення коштів, тис.грн.</t>
  </si>
  <si>
    <t>План з повернення коштів, тис.грн.</t>
  </si>
  <si>
    <t>Шевроле Авео</t>
  </si>
  <si>
    <t>для службових роз’їздів</t>
  </si>
  <si>
    <t>Чистий дохід від реалізації продукції (товарів, робіт, послуг), в т.ч. за видами діяльності:</t>
  </si>
  <si>
    <t>Собівартість реалізованої продукції (товарів, робіт, послуг), в т.ч. за видами діяльності:</t>
  </si>
  <si>
    <t>тис.грн.</t>
  </si>
  <si>
    <t>Витрати на оплату праці (з/п+нарахування), тис. гривень, у тому числі:</t>
  </si>
  <si>
    <t>Середньомісячна заробітна плата одного працівника (нараховано до виплати), гривень</t>
  </si>
  <si>
    <t>Середньомісячний дохід одного працівника (фактично виплачено), гривень</t>
  </si>
  <si>
    <t>1058/12</t>
  </si>
  <si>
    <t>Додаток</t>
  </si>
  <si>
    <t>ЗАТВЕРДЖЕНО</t>
  </si>
  <si>
    <t>рішення виконавчого комітету</t>
  </si>
  <si>
    <t>Черкаської міської ради</t>
  </si>
  <si>
    <t>від _________________№________</t>
  </si>
  <si>
    <t>інші витрати, в т.ч.:</t>
  </si>
  <si>
    <t>4020/1</t>
  </si>
  <si>
    <t>придбання (виготовлення) основних засобів, в т.ч.:</t>
  </si>
  <si>
    <t>модернізація, модифікація (добудова, дообладнання, реконструкція) ОС</t>
  </si>
  <si>
    <t>придбання (виготовлення) інших необоротних матеріальних активів, в т.ч.:</t>
  </si>
  <si>
    <t>Придбання контейнерів для збору ТПВ</t>
  </si>
  <si>
    <t>4020/2</t>
  </si>
  <si>
    <t>Чистий дохід  від реалізації продукції (товарів, робіт, послуг), тис. гривень</t>
  </si>
  <si>
    <t>1040/1</t>
  </si>
  <si>
    <t>1040/2</t>
  </si>
  <si>
    <t>1040/3</t>
  </si>
  <si>
    <t>1040/4</t>
  </si>
  <si>
    <t>1050/1</t>
  </si>
  <si>
    <t>1050/2</t>
  </si>
  <si>
    <t>1050/3</t>
  </si>
  <si>
    <t>1050/4</t>
  </si>
  <si>
    <t>Доходи</t>
  </si>
  <si>
    <t>Відлов та утримання тварин</t>
  </si>
  <si>
    <t>Кільк/міс</t>
  </si>
  <si>
    <t>Тариф</t>
  </si>
  <si>
    <t>Населення</t>
  </si>
  <si>
    <t>Бюджет</t>
  </si>
  <si>
    <t>комерц</t>
  </si>
  <si>
    <t>За рік</t>
  </si>
  <si>
    <t>За міс</t>
  </si>
  <si>
    <t>За квартал</t>
  </si>
  <si>
    <t>волик</t>
  </si>
  <si>
    <t>роговик</t>
  </si>
  <si>
    <t>крижня</t>
  </si>
  <si>
    <t>дмитрієнко</t>
  </si>
  <si>
    <t>слинько</t>
  </si>
  <si>
    <t>роговий</t>
  </si>
  <si>
    <t>4020/3</t>
  </si>
  <si>
    <t>4020/4</t>
  </si>
  <si>
    <t>4020/5</t>
  </si>
  <si>
    <t>Придбання вольєрів для утримання тварин</t>
  </si>
  <si>
    <t>4030/1</t>
  </si>
  <si>
    <t>Інше</t>
  </si>
  <si>
    <t>ЄСВ</t>
  </si>
  <si>
    <t>придбання (виготовлення) ОС</t>
  </si>
  <si>
    <t>Капітальне будівництво</t>
  </si>
  <si>
    <t>придбання (виготовлення) інших НМА</t>
  </si>
  <si>
    <t>Модернізація, добудова</t>
  </si>
  <si>
    <t>8.  Капітальне будівництво (рядок 4010 таблиці 4)</t>
  </si>
  <si>
    <t>Загальна інформація про підприємство (резюме)</t>
  </si>
  <si>
    <t>1. Дані про підприємство, персонал та фонд заробітної плати:</t>
  </si>
  <si>
    <t>Послуги з ремонту огороджувальної дамби полігону ТПВ</t>
  </si>
  <si>
    <t xml:space="preserve">витрати на ремонтні роботи </t>
  </si>
  <si>
    <t>відрахування єдиного соціального внеску</t>
  </si>
  <si>
    <t>стерилізація+утримання</t>
  </si>
  <si>
    <t>Послуги Умвельт</t>
  </si>
  <si>
    <t>юридичні та нотаріальні послуги</t>
  </si>
  <si>
    <t>Послуги з стерилізації собак</t>
  </si>
  <si>
    <t>1058/13</t>
  </si>
  <si>
    <t>витрати на оплату праці, в т.ч.:</t>
  </si>
  <si>
    <t>заробітна плата робітників притулку</t>
  </si>
  <si>
    <t>1054/1</t>
  </si>
  <si>
    <t>заробітна плата</t>
  </si>
  <si>
    <t>Корм</t>
  </si>
  <si>
    <t>Стерилізація</t>
  </si>
  <si>
    <t>1102/9</t>
  </si>
  <si>
    <t>Відрахування до резерву відпусток</t>
  </si>
  <si>
    <t>інші поточні витрати на збут (ремонт компютера, заправка картриджу, зв'язок та інше)</t>
  </si>
  <si>
    <t>витрати на рекламу, розробку сайту</t>
  </si>
  <si>
    <t>4050/1</t>
  </si>
  <si>
    <t>Роговик</t>
  </si>
  <si>
    <t>Коваленко</t>
  </si>
  <si>
    <t>Слинько</t>
  </si>
  <si>
    <t>Хмельов</t>
  </si>
  <si>
    <t>Клименко</t>
  </si>
  <si>
    <t>Абукаре4</t>
  </si>
  <si>
    <t>Роговий</t>
  </si>
  <si>
    <t>Крижня</t>
  </si>
  <si>
    <t>Дмитрієнко</t>
  </si>
  <si>
    <t>Полонська</t>
  </si>
  <si>
    <t>Чмир</t>
  </si>
  <si>
    <t>Рудик</t>
  </si>
  <si>
    <t>Волик</t>
  </si>
  <si>
    <t>Згуровський</t>
  </si>
  <si>
    <t>Питома вага в загальному обсязі реалізації, %</t>
  </si>
  <si>
    <t>за минулий рік</t>
  </si>
  <si>
    <t>за плановий рік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</si>
  <si>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</si>
  <si>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Захоронення побутових відходів по талонах</t>
  </si>
  <si>
    <t>КОМУНАЛЬНОГО ПІДПРИЄМСТВА "ЧЕРКАСЬКА СЛУЖБА ЧИСТОТИ" ЧЕРКАСЬКОЇ МІСЬКОЇ РАДИ</t>
  </si>
  <si>
    <t>1055/1</t>
  </si>
  <si>
    <t>Фінансовий план на 2019 рік</t>
  </si>
  <si>
    <t>1058/14</t>
  </si>
  <si>
    <t>1058/15</t>
  </si>
  <si>
    <t>1058/16</t>
  </si>
  <si>
    <t>1058/17</t>
  </si>
  <si>
    <t>1058/18</t>
  </si>
  <si>
    <t>Лабораторні дослідження полігону ТПВ</t>
  </si>
  <si>
    <t>1058/19</t>
  </si>
  <si>
    <t>1058/20</t>
  </si>
  <si>
    <t>Матеріали, МБП що використовуються під час виробничого процесу</t>
  </si>
  <si>
    <t>витрати по списанню запасних частин</t>
  </si>
  <si>
    <t>сплата ЄСВ нарахованого на заробітну плату робітників притулку</t>
  </si>
  <si>
    <t>витрати на сировину та основні матеріали, запчастини</t>
  </si>
  <si>
    <t>Організації</t>
  </si>
  <si>
    <t>Бюджетні організації</t>
  </si>
  <si>
    <t xml:space="preserve">Тариф без ПДВ (грн.) </t>
  </si>
  <si>
    <t>всього</t>
  </si>
  <si>
    <t>Населення інші</t>
  </si>
  <si>
    <t>Багатоповерхові</t>
  </si>
  <si>
    <t>Рахунок</t>
  </si>
  <si>
    <t>приватний сектор</t>
  </si>
  <si>
    <t>Обсяг послуг, м.куб./рік ДОГОВІРНИЙ З 1С</t>
  </si>
  <si>
    <t>Для фінплану</t>
  </si>
  <si>
    <t>Дохід за рік, грн. без ПДВ ДЛЯ ФІНПЛОАНУ</t>
  </si>
  <si>
    <t>Інші</t>
  </si>
  <si>
    <t>1125/7</t>
  </si>
  <si>
    <t xml:space="preserve">Вивіз ТПВ </t>
  </si>
  <si>
    <t>Вивіз РПВ</t>
  </si>
  <si>
    <t>Придбання сміттєвозу</t>
  </si>
  <si>
    <t>І.В. Слинько</t>
  </si>
  <si>
    <t>Факт 2018 року</t>
  </si>
  <si>
    <t>Фінансовий план 2019 року</t>
  </si>
  <si>
    <t>Прогнозний показник 2019 року</t>
  </si>
  <si>
    <t>Фінансовий план на 2020 рік</t>
  </si>
  <si>
    <t>Директор  КП "ЧСЧ"</t>
  </si>
  <si>
    <t>Резерв сумнівних боргів</t>
  </si>
  <si>
    <t>1125/8</t>
  </si>
  <si>
    <t>Обсяг послуг ВИВЕЗЕННЯ, м.куб./рік ДОГОВІРНИЙ З 1С</t>
  </si>
  <si>
    <t>ЗАХОРОНЕННЯ</t>
  </si>
  <si>
    <t>ДОХОДИ ВИВЕЗЕННЯ</t>
  </si>
  <si>
    <t>ДОХОДИ ЗАХОРОНЕННЯ</t>
  </si>
  <si>
    <t>ДОХОДИ РПВ</t>
  </si>
  <si>
    <t>Вивезення відходів</t>
  </si>
  <si>
    <t>УТРИМАННЯ ТВАРИН</t>
  </si>
  <si>
    <t>стерилізація</t>
  </si>
  <si>
    <t>ветпрепарати</t>
  </si>
  <si>
    <t>корм</t>
  </si>
  <si>
    <t>ремонт вольєрів</t>
  </si>
  <si>
    <t>ДЛЯ ФП</t>
  </si>
  <si>
    <t>Податки</t>
  </si>
  <si>
    <t>розміщення</t>
  </si>
  <si>
    <t>викиди</t>
  </si>
  <si>
    <t>земля місто</t>
  </si>
  <si>
    <t>замля район</t>
  </si>
  <si>
    <t>Коригув</t>
  </si>
  <si>
    <t>утилізація фільтрату</t>
  </si>
  <si>
    <t>придбання піску/грунту для ізоляції відходів</t>
  </si>
  <si>
    <t>послуги з доставки піску/грунту</t>
  </si>
  <si>
    <t>виконання регламентних робіт (полігон ТПВ)</t>
  </si>
  <si>
    <t>На місяць</t>
  </si>
  <si>
    <t>витрати, пов'язані з використанням власних службових автомобілів (паливо, технічне обслуговування)</t>
  </si>
  <si>
    <t>Захоронення відходів на полігоні</t>
  </si>
  <si>
    <t>Оренда полігону ТПВ (біогаз)</t>
  </si>
  <si>
    <t>Зобов’язань з податків і зборів</t>
  </si>
  <si>
    <t>Придбання бульдозера</t>
  </si>
  <si>
    <t>НА 2020 РІК</t>
  </si>
  <si>
    <t>до фінансового плану на 2020 рік</t>
  </si>
  <si>
    <t>Фактичний показник за 2018 рік</t>
  </si>
  <si>
    <t>Фактичний показник  2019 рік</t>
  </si>
  <si>
    <t>Плановий показник 2020 року</t>
  </si>
  <si>
    <t>170 соб/день</t>
  </si>
  <si>
    <t>150 соб/день</t>
  </si>
  <si>
    <t>Заборгованість за кредитами на кінець 2020 року, тис.грн.</t>
  </si>
  <si>
    <t>Заборгованість за кредитами на початок 2020 року, тис.грн.</t>
  </si>
  <si>
    <t>Митсубиси Паджеро</t>
  </si>
  <si>
    <t>9</t>
  </si>
  <si>
    <t>для службових роз’їздів по місту та до полігону ТПВ</t>
  </si>
  <si>
    <t>від 01.02.2019 року №б/н</t>
  </si>
  <si>
    <t xml:space="preserve">(ініціали, прізвище)    </t>
  </si>
  <si>
    <t>Забезпечення екологічно безпечного збирання, перевезення, зберігання та утилізації відходів</t>
  </si>
  <si>
    <t>1040/5</t>
  </si>
  <si>
    <t>1050/5</t>
  </si>
  <si>
    <t>в т.ч. на забезпечення екологічно безпечного збирання, перевезення, зберігання та утилізації відходів</t>
  </si>
  <si>
    <t>1052/1</t>
  </si>
  <si>
    <t>заробітна плата водіїв автотранспортних засобів</t>
  </si>
  <si>
    <t>1054/2</t>
  </si>
  <si>
    <t>Придбання ветеринарних препаратів для лік.тварин</t>
  </si>
  <si>
    <t>4010/1</t>
  </si>
  <si>
    <t xml:space="preserve"> Капітальний ремонт криші гаража з оглядовими ямами</t>
  </si>
  <si>
    <t>Будівництво контейнерних майданчиків (по вул. Бидгощська 36/147, по вул.Новопречистенська, 40)</t>
  </si>
  <si>
    <t>маркування/кліпсування тварин</t>
  </si>
  <si>
    <t>1058/21</t>
  </si>
  <si>
    <t>1052/2</t>
  </si>
  <si>
    <t>в т.ч. на відлов та транспортування безпритульних тварин</t>
  </si>
  <si>
    <t>проведення інформаційно-роз’яснювальної роботи щодо правил поводження з безпритульними тваринами</t>
  </si>
  <si>
    <t>1058/22</t>
  </si>
  <si>
    <t>1058/23</t>
  </si>
  <si>
    <t>послуги з евтаназії тварин</t>
  </si>
  <si>
    <t>поточний ремонт вольєрів</t>
  </si>
  <si>
    <t>1058/24</t>
  </si>
  <si>
    <t>Збільшення обсягів робіт власними силами без залучення спеціалізованих організацій</t>
  </si>
</sst>
</file>

<file path=xl/styles.xml><?xml version="1.0" encoding="utf-8"?>
<styleSheet xmlns="http://schemas.openxmlformats.org/spreadsheetml/2006/main">
  <numFmts count="1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  <numFmt numFmtId="175" formatCode="_-* #,##0.0_₴_-;\-* #,##0.0_₴_-;_-* &quot;-&quot;??_₴_-;_-@_-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6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4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68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9" fillId="0" borderId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6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9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3" fontId="64" fillId="22" borderId="12" applyFill="0" applyBorder="0">
      <alignment horizontal="center" vertical="center" wrapText="1"/>
      <protection locked="0"/>
    </xf>
    <xf numFmtId="168" fontId="65" fillId="0" borderId="0">
      <alignment wrapText="1"/>
    </xf>
    <xf numFmtId="168" fontId="32" fillId="0" borderId="0">
      <alignment wrapText="1"/>
    </xf>
  </cellStyleXfs>
  <cellXfs count="40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247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1" fillId="0" borderId="0" xfId="0" applyFont="1"/>
    <xf numFmtId="0" fontId="71" fillId="0" borderId="3" xfId="0" applyFont="1" applyBorder="1" applyAlignment="1">
      <alignment horizontal="center" vertical="center"/>
    </xf>
    <xf numFmtId="0" fontId="71" fillId="0" borderId="3" xfId="0" applyFont="1" applyBorder="1"/>
    <xf numFmtId="0" fontId="7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vertical="center" wrapText="1" indent="1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67" fontId="4" fillId="0" borderId="19" xfId="0" applyNumberFormat="1" applyFont="1" applyFill="1" applyBorder="1" applyAlignment="1">
      <alignment horizontal="right" vertical="center" wrapText="1" indent="1"/>
    </xf>
    <xf numFmtId="0" fontId="71" fillId="29" borderId="3" xfId="0" applyFont="1" applyFill="1" applyBorder="1"/>
    <xf numFmtId="0" fontId="5" fillId="0" borderId="3" xfId="0" applyFont="1" applyFill="1" applyBorder="1" applyAlignment="1">
      <alignment horizontal="center" vertical="center" wrapText="1" shrinkToFit="1"/>
    </xf>
    <xf numFmtId="167" fontId="5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horizontal="right" vertical="center" wrapText="1" indent="1"/>
    </xf>
    <xf numFmtId="3" fontId="7" fillId="0" borderId="3" xfId="0" applyNumberFormat="1" applyFont="1" applyFill="1" applyBorder="1" applyAlignment="1">
      <alignment horizontal="right" vertical="center" wrapText="1" indent="1"/>
    </xf>
    <xf numFmtId="167" fontId="78" fillId="0" borderId="3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8" fillId="0" borderId="3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 shrinkToFit="1"/>
    </xf>
    <xf numFmtId="0" fontId="7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167" fontId="78" fillId="0" borderId="0" xfId="0" applyNumberFormat="1" applyFont="1" applyFill="1" applyBorder="1" applyAlignment="1">
      <alignment horizontal="right" vertical="center" wrapText="1" indent="1"/>
    </xf>
    <xf numFmtId="3" fontId="78" fillId="0" borderId="0" xfId="0" applyNumberFormat="1" applyFont="1" applyFill="1" applyBorder="1" applyAlignment="1">
      <alignment horizontal="right" vertical="center" wrapText="1" indent="1"/>
    </xf>
    <xf numFmtId="3" fontId="7" fillId="0" borderId="3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6" fontId="78" fillId="0" borderId="14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2" fontId="78" fillId="0" borderId="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 wrapText="1"/>
    </xf>
    <xf numFmtId="166" fontId="78" fillId="0" borderId="0" xfId="0" applyNumberFormat="1" applyFont="1" applyFill="1" applyBorder="1" applyAlignment="1">
      <alignment horizontal="center" vertical="center" wrapText="1"/>
    </xf>
    <xf numFmtId="167" fontId="72" fillId="0" borderId="0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shrinkToFit="1"/>
    </xf>
    <xf numFmtId="0" fontId="71" fillId="0" borderId="3" xfId="0" applyFont="1" applyFill="1" applyBorder="1" applyAlignment="1">
      <alignment horizontal="center" vertical="center" wrapText="1" shrinkToFit="1"/>
    </xf>
    <xf numFmtId="2" fontId="7" fillId="0" borderId="14" xfId="0" applyNumberFormat="1" applyFont="1" applyFill="1" applyBorder="1" applyAlignment="1">
      <alignment horizontal="center" vertical="center" wrapText="1" shrinkToFit="1"/>
    </xf>
    <xf numFmtId="166" fontId="78" fillId="0" borderId="0" xfId="0" applyNumberFormat="1" applyFont="1" applyFill="1" applyBorder="1" applyAlignment="1">
      <alignment horizontal="right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 shrinkToFit="1"/>
    </xf>
    <xf numFmtId="0" fontId="71" fillId="0" borderId="0" xfId="0" applyFont="1" applyFill="1" applyBorder="1" applyAlignment="1">
      <alignment horizontal="left" vertical="center" wrapText="1" shrinkToFit="1"/>
    </xf>
    <xf numFmtId="2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166" fontId="81" fillId="0" borderId="3" xfId="0" applyNumberFormat="1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6" fontId="78" fillId="0" borderId="3" xfId="0" applyNumberFormat="1" applyFont="1" applyFill="1" applyBorder="1" applyAlignment="1">
      <alignment horizontal="center" vertical="center" wrapText="1"/>
    </xf>
    <xf numFmtId="166" fontId="78" fillId="0" borderId="3" xfId="325" applyNumberFormat="1" applyFont="1" applyFill="1" applyBorder="1" applyAlignment="1">
      <alignment horizontal="right" vertical="center" wrapText="1" indent="1"/>
    </xf>
    <xf numFmtId="166" fontId="7" fillId="0" borderId="3" xfId="0" applyNumberFormat="1" applyFont="1" applyFill="1" applyBorder="1" applyAlignment="1">
      <alignment horizontal="right" vertical="center" indent="1"/>
    </xf>
    <xf numFmtId="166" fontId="7" fillId="0" borderId="3" xfId="325" applyNumberFormat="1" applyFont="1" applyFill="1" applyBorder="1" applyAlignment="1">
      <alignment horizontal="right" vertical="center" wrapText="1" indent="1"/>
    </xf>
    <xf numFmtId="166" fontId="78" fillId="0" borderId="3" xfId="0" applyNumberFormat="1" applyFont="1" applyFill="1" applyBorder="1" applyAlignment="1">
      <alignment horizontal="right" vertical="center" wrapText="1" indent="1"/>
    </xf>
    <xf numFmtId="166" fontId="78" fillId="0" borderId="3" xfId="325" applyNumberFormat="1" applyFont="1" applyFill="1" applyBorder="1" applyAlignment="1">
      <alignment horizontal="center" vertical="center" wrapText="1"/>
    </xf>
    <xf numFmtId="166" fontId="7" fillId="0" borderId="3" xfId="325" applyNumberFormat="1" applyFont="1" applyFill="1" applyBorder="1" applyAlignment="1">
      <alignment horizontal="center" vertical="center" wrapText="1"/>
    </xf>
    <xf numFmtId="0" fontId="5" fillId="0" borderId="0" xfId="247" applyFont="1" applyFill="1" applyBorder="1" applyAlignment="1">
      <alignment vertical="center"/>
    </xf>
    <xf numFmtId="0" fontId="4" fillId="0" borderId="0" xfId="247" applyFont="1" applyFill="1" applyBorder="1" applyAlignment="1">
      <alignment horizontal="center" vertical="center" wrapText="1"/>
    </xf>
    <xf numFmtId="0" fontId="4" fillId="0" borderId="0" xfId="247" applyFont="1" applyFill="1" applyBorder="1" applyAlignment="1">
      <alignment horizontal="right" vertical="center" wrapText="1"/>
    </xf>
    <xf numFmtId="0" fontId="5" fillId="0" borderId="3" xfId="247" applyFont="1" applyFill="1" applyBorder="1" applyAlignment="1">
      <alignment horizontal="center" vertical="center" wrapText="1"/>
    </xf>
    <xf numFmtId="167" fontId="4" fillId="0" borderId="3" xfId="247" applyNumberFormat="1" applyFont="1" applyFill="1" applyBorder="1" applyAlignment="1">
      <alignment horizontal="right" vertical="center" wrapText="1" indent="1"/>
    </xf>
    <xf numFmtId="0" fontId="4" fillId="0" borderId="0" xfId="247" applyFont="1" applyFill="1" applyBorder="1" applyAlignment="1">
      <alignment vertical="center"/>
    </xf>
    <xf numFmtId="0" fontId="4" fillId="0" borderId="3" xfId="247" applyFont="1" applyFill="1" applyBorder="1" applyAlignment="1">
      <alignment horizontal="center" vertical="center" wrapText="1"/>
    </xf>
    <xf numFmtId="0" fontId="6" fillId="0" borderId="3" xfId="247" applyFont="1" applyFill="1" applyBorder="1" applyAlignment="1">
      <alignment horizontal="right" vertical="center" wrapText="1"/>
    </xf>
    <xf numFmtId="0" fontId="5" fillId="0" borderId="0" xfId="247" applyFont="1" applyFill="1" applyBorder="1" applyAlignment="1">
      <alignment horizontal="left" vertical="center" wrapText="1"/>
    </xf>
    <xf numFmtId="0" fontId="5" fillId="0" borderId="0" xfId="247" applyFont="1" applyFill="1" applyBorder="1" applyAlignment="1">
      <alignment horizontal="center" vertical="center"/>
    </xf>
    <xf numFmtId="167" fontId="5" fillId="0" borderId="0" xfId="247" applyNumberFormat="1" applyFont="1" applyFill="1" applyBorder="1" applyAlignment="1">
      <alignment horizontal="center" vertical="center" wrapText="1"/>
    </xf>
    <xf numFmtId="167" fontId="5" fillId="0" borderId="0" xfId="247" applyNumberFormat="1" applyFont="1" applyFill="1" applyBorder="1" applyAlignment="1">
      <alignment horizontal="right" vertical="center" wrapText="1"/>
    </xf>
    <xf numFmtId="0" fontId="5" fillId="0" borderId="0" xfId="247" applyFont="1" applyFill="1" applyBorder="1" applyAlignment="1">
      <alignment vertical="center" wrapText="1"/>
    </xf>
    <xf numFmtId="0" fontId="0" fillId="29" borderId="0" xfId="0" applyFill="1"/>
    <xf numFmtId="0" fontId="82" fillId="0" borderId="3" xfId="0" quotePrefix="1" applyFont="1" applyFill="1" applyBorder="1" applyAlignment="1">
      <alignment horizontal="center" vertical="center"/>
    </xf>
    <xf numFmtId="167" fontId="82" fillId="0" borderId="3" xfId="0" applyNumberFormat="1" applyFont="1" applyFill="1" applyBorder="1" applyAlignment="1">
      <alignment horizontal="right" vertical="center" wrapText="1"/>
    </xf>
    <xf numFmtId="167" fontId="70" fillId="0" borderId="3" xfId="0" applyNumberFormat="1" applyFont="1" applyFill="1" applyBorder="1" applyAlignment="1">
      <alignment horizontal="right" vertical="center" wrapText="1"/>
    </xf>
    <xf numFmtId="49" fontId="82" fillId="0" borderId="3" xfId="0" applyNumberFormat="1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right" vertical="center" wrapText="1"/>
    </xf>
    <xf numFmtId="0" fontId="70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0" fontId="0" fillId="29" borderId="3" xfId="0" applyFill="1" applyBorder="1" applyAlignment="1">
      <alignment horizontal="center" vertical="center" wrapText="1"/>
    </xf>
    <xf numFmtId="0" fontId="75" fillId="0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2" fontId="71" fillId="0" borderId="0" xfId="0" applyNumberFormat="1" applyFont="1"/>
    <xf numFmtId="0" fontId="71" fillId="0" borderId="0" xfId="0" applyFont="1" applyAlignment="1">
      <alignment horizontal="righ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167" fontId="7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0" fillId="0" borderId="3" xfId="0" quotePrefix="1" applyFont="1" applyFill="1" applyBorder="1" applyAlignment="1">
      <alignment horizontal="center" vertical="center"/>
    </xf>
    <xf numFmtId="0" fontId="82" fillId="0" borderId="3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 shrinkToFit="1"/>
    </xf>
    <xf numFmtId="0" fontId="82" fillId="0" borderId="3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166" fontId="78" fillId="0" borderId="3" xfId="0" applyNumberFormat="1" applyFont="1" applyFill="1" applyBorder="1" applyAlignment="1">
      <alignment horizontal="right" vertical="center" indent="1"/>
    </xf>
    <xf numFmtId="166" fontId="7" fillId="0" borderId="3" xfId="345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175" fontId="70" fillId="0" borderId="3" xfId="325" applyNumberFormat="1" applyFont="1" applyFill="1" applyBorder="1" applyAlignment="1">
      <alignment horizontal="right" vertical="center" wrapText="1"/>
    </xf>
    <xf numFmtId="166" fontId="82" fillId="0" borderId="3" xfId="0" applyNumberFormat="1" applyFont="1" applyFill="1" applyBorder="1" applyAlignment="1">
      <alignment horizontal="right" vertical="center" wrapText="1"/>
    </xf>
    <xf numFmtId="175" fontId="82" fillId="0" borderId="3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right" vertical="center" wrapText="1"/>
    </xf>
    <xf numFmtId="175" fontId="70" fillId="0" borderId="3" xfId="0" applyNumberFormat="1" applyFont="1" applyFill="1" applyBorder="1" applyAlignment="1">
      <alignment horizontal="right" vertical="center" wrapText="1"/>
    </xf>
    <xf numFmtId="167" fontId="70" fillId="0" borderId="3" xfId="0" quotePrefix="1" applyNumberFormat="1" applyFont="1" applyFill="1" applyBorder="1" applyAlignment="1">
      <alignment horizontal="right" vertical="center" wrapText="1"/>
    </xf>
    <xf numFmtId="175" fontId="70" fillId="0" borderId="3" xfId="0" quotePrefix="1" applyNumberFormat="1" applyFont="1" applyFill="1" applyBorder="1" applyAlignment="1">
      <alignment horizontal="right" vertical="center" wrapText="1"/>
    </xf>
    <xf numFmtId="0" fontId="86" fillId="0" borderId="3" xfId="0" applyFont="1" applyFill="1" applyBorder="1" applyAlignment="1">
      <alignment horizontal="right" vertical="center" wrapText="1"/>
    </xf>
    <xf numFmtId="167" fontId="82" fillId="0" borderId="3" xfId="0" applyNumberFormat="1" applyFont="1" applyFill="1" applyBorder="1" applyAlignment="1">
      <alignment horizontal="right" vertical="center"/>
    </xf>
    <xf numFmtId="167" fontId="82" fillId="0" borderId="3" xfId="0" quotePrefix="1" applyNumberFormat="1" applyFont="1" applyFill="1" applyBorder="1" applyAlignment="1">
      <alignment horizontal="right" vertical="center" wrapText="1"/>
    </xf>
    <xf numFmtId="175" fontId="82" fillId="0" borderId="3" xfId="0" quotePrefix="1" applyNumberFormat="1" applyFont="1" applyFill="1" applyBorder="1" applyAlignment="1">
      <alignment horizontal="right" vertical="center" wrapText="1"/>
    </xf>
    <xf numFmtId="49" fontId="82" fillId="0" borderId="3" xfId="0" applyNumberFormat="1" applyFont="1" applyFill="1" applyBorder="1" applyAlignment="1">
      <alignment horizontal="right" vertical="center" wrapText="1"/>
    </xf>
    <xf numFmtId="166" fontId="82" fillId="0" borderId="3" xfId="0" applyNumberFormat="1" applyFont="1" applyFill="1" applyBorder="1" applyAlignment="1">
      <alignment horizontal="right" vertical="center"/>
    </xf>
    <xf numFmtId="0" fontId="82" fillId="0" borderId="3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left" vertical="center" wrapText="1" shrinkToFit="1"/>
    </xf>
    <xf numFmtId="0" fontId="82" fillId="0" borderId="17" xfId="0" quotePrefix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66" fontId="70" fillId="0" borderId="3" xfId="0" quotePrefix="1" applyNumberFormat="1" applyFont="1" applyFill="1" applyBorder="1" applyAlignment="1">
      <alignment horizontal="right" vertical="center" wrapText="1"/>
    </xf>
    <xf numFmtId="166" fontId="82" fillId="0" borderId="3" xfId="0" quotePrefix="1" applyNumberFormat="1" applyFont="1" applyFill="1" applyBorder="1" applyAlignment="1">
      <alignment horizontal="right" vertical="center" wrapText="1"/>
    </xf>
    <xf numFmtId="167" fontId="82" fillId="0" borderId="3" xfId="0" applyNumberFormat="1" applyFont="1" applyFill="1" applyBorder="1" applyAlignment="1">
      <alignment vertical="center" wrapText="1"/>
    </xf>
    <xf numFmtId="0" fontId="82" fillId="0" borderId="3" xfId="0" quotePrefix="1" applyFont="1" applyFill="1" applyBorder="1" applyAlignment="1">
      <alignment horizontal="center" vertical="center" wrapText="1"/>
    </xf>
    <xf numFmtId="167" fontId="82" fillId="0" borderId="3" xfId="0" quotePrefix="1" applyNumberFormat="1" applyFont="1" applyFill="1" applyBorder="1" applyAlignment="1">
      <alignment vertical="center" wrapText="1"/>
    </xf>
    <xf numFmtId="167" fontId="70" fillId="0" borderId="3" xfId="0" quotePrefix="1" applyNumberFormat="1" applyFont="1" applyFill="1" applyBorder="1" applyAlignment="1">
      <alignment vertical="center" wrapText="1"/>
    </xf>
    <xf numFmtId="0" fontId="70" fillId="0" borderId="3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/>
    </xf>
    <xf numFmtId="167" fontId="4" fillId="0" borderId="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3" xfId="247" applyFont="1" applyFill="1" applyBorder="1" applyAlignment="1">
      <alignment horizontal="center" vertical="center"/>
    </xf>
    <xf numFmtId="167" fontId="5" fillId="0" borderId="3" xfId="247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247" applyFont="1" applyFill="1"/>
    <xf numFmtId="0" fontId="4" fillId="0" borderId="3" xfId="0" quotePrefix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quotePrefix="1" applyNumberFormat="1" applyFont="1" applyFill="1" applyBorder="1" applyAlignment="1">
      <alignment horizontal="center" vertical="center" wrapText="1"/>
    </xf>
    <xf numFmtId="167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5" fillId="0" borderId="27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/>
    </xf>
    <xf numFmtId="3" fontId="0" fillId="0" borderId="3" xfId="0" applyNumberFormat="1" applyFill="1" applyBorder="1"/>
    <xf numFmtId="3" fontId="75" fillId="0" borderId="3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/>
    </xf>
    <xf numFmtId="0" fontId="4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/>
    <xf numFmtId="2" fontId="75" fillId="0" borderId="3" xfId="0" applyNumberFormat="1" applyFont="1" applyFill="1" applyBorder="1"/>
    <xf numFmtId="0" fontId="75" fillId="0" borderId="3" xfId="0" applyFont="1" applyBorder="1"/>
    <xf numFmtId="0" fontId="0" fillId="0" borderId="13" xfId="0" applyBorder="1" applyAlignment="1"/>
    <xf numFmtId="3" fontId="0" fillId="0" borderId="0" xfId="0" applyNumberFormat="1"/>
    <xf numFmtId="167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top" wrapText="1"/>
    </xf>
    <xf numFmtId="1" fontId="78" fillId="0" borderId="14" xfId="0" applyNumberFormat="1" applyFont="1" applyFill="1" applyBorder="1" applyAlignment="1">
      <alignment horizontal="center" vertical="center" wrapText="1"/>
    </xf>
    <xf numFmtId="1" fontId="78" fillId="0" borderId="3" xfId="0" applyNumberFormat="1" applyFont="1" applyFill="1" applyBorder="1" applyAlignment="1">
      <alignment horizontal="center" vertical="center" wrapText="1"/>
    </xf>
    <xf numFmtId="166" fontId="7" fillId="0" borderId="3" xfId="325" applyNumberFormat="1" applyFont="1" applyFill="1" applyBorder="1" applyAlignment="1">
      <alignment horizontal="right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82" fillId="0" borderId="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165" fontId="70" fillId="0" borderId="3" xfId="0" applyNumberFormat="1" applyFont="1" applyFill="1" applyBorder="1" applyAlignment="1">
      <alignment horizontal="right" vertical="center" wrapText="1"/>
    </xf>
    <xf numFmtId="165" fontId="82" fillId="0" borderId="3" xfId="0" applyNumberFormat="1" applyFont="1" applyFill="1" applyBorder="1" applyAlignment="1">
      <alignment horizontal="right" vertical="center" wrapText="1"/>
    </xf>
    <xf numFmtId="4" fontId="5" fillId="0" borderId="3" xfId="247" applyNumberFormat="1" applyFont="1" applyFill="1" applyBorder="1" applyAlignment="1">
      <alignment horizontal="right" vertical="center" wrapText="1" indent="1"/>
    </xf>
    <xf numFmtId="3" fontId="5" fillId="0" borderId="3" xfId="247" applyNumberFormat="1" applyFont="1" applyFill="1" applyBorder="1" applyAlignment="1">
      <alignment horizontal="right" vertical="center" wrapText="1" indent="1"/>
    </xf>
    <xf numFmtId="0" fontId="5" fillId="29" borderId="0" xfId="0" applyFont="1" applyFill="1" applyBorder="1" applyAlignment="1">
      <alignment horizontal="right" vertical="center"/>
    </xf>
    <xf numFmtId="167" fontId="82" fillId="29" borderId="3" xfId="0" applyNumberFormat="1" applyFont="1" applyFill="1" applyBorder="1" applyAlignment="1">
      <alignment horizontal="right" vertical="center" wrapText="1"/>
    </xf>
    <xf numFmtId="0" fontId="82" fillId="29" borderId="3" xfId="0" applyFont="1" applyFill="1" applyBorder="1" applyAlignment="1">
      <alignment horizontal="left" vertical="center" wrapText="1"/>
    </xf>
    <xf numFmtId="0" fontId="82" fillId="29" borderId="3" xfId="0" applyFont="1" applyFill="1" applyBorder="1" applyAlignment="1">
      <alignment horizontal="left" vertical="center"/>
    </xf>
    <xf numFmtId="0" fontId="86" fillId="29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 indent="1"/>
    </xf>
    <xf numFmtId="0" fontId="82" fillId="0" borderId="3" xfId="0" applyFont="1" applyFill="1" applyBorder="1" applyAlignment="1">
      <alignment horizontal="center" vertical="center" wrapText="1"/>
    </xf>
    <xf numFmtId="3" fontId="7" fillId="30" borderId="3" xfId="0" applyNumberFormat="1" applyFont="1" applyFill="1" applyBorder="1" applyAlignment="1">
      <alignment horizontal="right" vertical="center" wrapText="1" indent="1"/>
    </xf>
    <xf numFmtId="3" fontId="7" fillId="30" borderId="3" xfId="0" applyNumberFormat="1" applyFont="1" applyFill="1" applyBorder="1" applyAlignment="1">
      <alignment horizontal="center" vertical="center" wrapText="1"/>
    </xf>
    <xf numFmtId="3" fontId="78" fillId="3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1" fillId="0" borderId="14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2" fontId="78" fillId="0" borderId="20" xfId="0" applyNumberFormat="1" applyFont="1" applyFill="1" applyBorder="1" applyAlignment="1">
      <alignment horizontal="center" vertical="center" wrapText="1"/>
    </xf>
    <xf numFmtId="2" fontId="78" fillId="0" borderId="15" xfId="0" applyNumberFormat="1" applyFont="1" applyFill="1" applyBorder="1" applyAlignment="1">
      <alignment horizontal="center" vertical="center" wrapText="1"/>
    </xf>
    <xf numFmtId="2" fontId="72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3" fontId="7" fillId="0" borderId="20" xfId="0" applyNumberFormat="1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167" fontId="78" fillId="0" borderId="20" xfId="0" applyNumberFormat="1" applyFont="1" applyFill="1" applyBorder="1" applyAlignment="1">
      <alignment horizontal="center" vertical="center" wrapText="1"/>
    </xf>
    <xf numFmtId="167" fontId="78" fillId="0" borderId="15" xfId="0" applyNumberFormat="1" applyFont="1" applyFill="1" applyBorder="1" applyAlignment="1">
      <alignment horizontal="center" vertical="center" wrapText="1"/>
    </xf>
    <xf numFmtId="167" fontId="72" fillId="0" borderId="14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1" fillId="0" borderId="14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1" fillId="0" borderId="23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1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1" fillId="0" borderId="16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1" fillId="0" borderId="14" xfId="0" applyFont="1" applyFill="1" applyBorder="1" applyAlignment="1">
      <alignment horizontal="left" vertical="center" wrapText="1" shrinkToFit="1"/>
    </xf>
    <xf numFmtId="0" fontId="78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1" fillId="0" borderId="21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72" fillId="0" borderId="3" xfId="0" applyFont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" xfId="325" builtinId="3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2"/>
  <sheetViews>
    <sheetView tabSelected="1" view="pageBreakPreview" topLeftCell="A16" zoomScale="60" zoomScaleNormal="60" zoomScalePageLayoutView="70" workbookViewId="0">
      <selection activeCell="A30" sqref="A30"/>
    </sheetView>
  </sheetViews>
  <sheetFormatPr defaultRowHeight="18.75"/>
  <cols>
    <col min="1" max="1" width="61.42578125" style="49" customWidth="1"/>
    <col min="2" max="2" width="9.7109375" style="9" customWidth="1"/>
    <col min="3" max="4" width="14.7109375" style="9" customWidth="1"/>
    <col min="5" max="5" width="16.28515625" style="9" customWidth="1"/>
    <col min="6" max="6" width="14.42578125" style="49" customWidth="1"/>
    <col min="7" max="10" width="13.42578125" style="49" customWidth="1"/>
    <col min="11" max="11" width="10" style="49" customWidth="1"/>
    <col min="12" max="12" width="9.5703125" style="49" customWidth="1"/>
    <col min="13" max="14" width="9.140625" style="49"/>
    <col min="15" max="15" width="10.5703125" style="49" customWidth="1"/>
    <col min="16" max="16384" width="9.140625" style="49"/>
  </cols>
  <sheetData>
    <row r="1" spans="1:10" ht="20.100000000000001" customHeight="1">
      <c r="B1" s="49"/>
      <c r="C1" s="49"/>
      <c r="D1" s="49"/>
      <c r="E1" s="49"/>
      <c r="G1" s="293" t="s">
        <v>506</v>
      </c>
      <c r="H1" s="293"/>
      <c r="I1" s="293"/>
      <c r="J1" s="293"/>
    </row>
    <row r="2" spans="1:10" ht="20.100000000000001" customHeight="1">
      <c r="B2" s="49"/>
      <c r="C2" s="49"/>
      <c r="D2" s="49"/>
      <c r="E2" s="49"/>
      <c r="G2" s="293" t="s">
        <v>507</v>
      </c>
      <c r="H2" s="293"/>
      <c r="I2" s="293"/>
      <c r="J2" s="293"/>
    </row>
    <row r="3" spans="1:10" ht="20.100000000000001" customHeight="1">
      <c r="B3" s="49"/>
      <c r="C3" s="49"/>
      <c r="D3" s="49"/>
      <c r="E3" s="49"/>
      <c r="G3" s="293" t="s">
        <v>508</v>
      </c>
      <c r="H3" s="293"/>
      <c r="I3" s="293"/>
      <c r="J3" s="293"/>
    </row>
    <row r="4" spans="1:10" ht="20.100000000000001" customHeight="1">
      <c r="B4" s="49"/>
      <c r="C4" s="49"/>
      <c r="D4" s="49"/>
      <c r="E4" s="49"/>
      <c r="G4" s="293" t="s">
        <v>509</v>
      </c>
      <c r="H4" s="293"/>
      <c r="I4" s="293"/>
      <c r="J4" s="293"/>
    </row>
    <row r="5" spans="1:10" ht="19.5" customHeight="1">
      <c r="A5" s="15"/>
      <c r="B5" s="49"/>
      <c r="G5" s="293" t="s">
        <v>510</v>
      </c>
      <c r="H5" s="293"/>
      <c r="I5" s="293"/>
      <c r="J5" s="293"/>
    </row>
    <row r="6" spans="1:10" ht="19.5" customHeight="1">
      <c r="A6" s="15"/>
      <c r="B6" s="49"/>
    </row>
    <row r="7" spans="1:10" ht="20.25">
      <c r="A7" s="291" t="s">
        <v>258</v>
      </c>
      <c r="B7" s="291"/>
      <c r="C7" s="291"/>
      <c r="D7" s="291"/>
      <c r="E7" s="291"/>
      <c r="F7" s="291"/>
      <c r="G7" s="291"/>
      <c r="H7" s="291"/>
      <c r="I7" s="291"/>
      <c r="J7" s="291"/>
    </row>
    <row r="8" spans="1:10" ht="20.25">
      <c r="A8" s="291" t="s">
        <v>595</v>
      </c>
      <c r="B8" s="291"/>
      <c r="C8" s="291"/>
      <c r="D8" s="291"/>
      <c r="E8" s="291"/>
      <c r="F8" s="291"/>
      <c r="G8" s="291"/>
      <c r="H8" s="291"/>
      <c r="I8" s="291"/>
      <c r="J8" s="291"/>
    </row>
    <row r="9" spans="1:10" ht="20.25">
      <c r="A9" s="291" t="s">
        <v>662</v>
      </c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4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21.75" customHeight="1">
      <c r="A11" s="292" t="s">
        <v>154</v>
      </c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>
      <c r="B12" s="10"/>
      <c r="C12" s="3"/>
      <c r="D12" s="3"/>
      <c r="E12" s="3"/>
      <c r="F12" s="10"/>
      <c r="G12" s="10"/>
      <c r="H12" s="10"/>
      <c r="I12" s="10"/>
      <c r="J12" s="50" t="s">
        <v>501</v>
      </c>
    </row>
    <row r="13" spans="1:10" ht="31.5" customHeight="1">
      <c r="A13" s="295" t="s">
        <v>181</v>
      </c>
      <c r="B13" s="296" t="s">
        <v>5</v>
      </c>
      <c r="C13" s="297" t="s">
        <v>627</v>
      </c>
      <c r="D13" s="297" t="s">
        <v>628</v>
      </c>
      <c r="E13" s="297" t="s">
        <v>629</v>
      </c>
      <c r="F13" s="297" t="s">
        <v>630</v>
      </c>
      <c r="G13" s="296" t="s">
        <v>255</v>
      </c>
      <c r="H13" s="296"/>
      <c r="I13" s="296"/>
      <c r="J13" s="296"/>
    </row>
    <row r="14" spans="1:10" ht="34.5" customHeight="1">
      <c r="A14" s="295"/>
      <c r="B14" s="296"/>
      <c r="C14" s="298" t="s">
        <v>395</v>
      </c>
      <c r="D14" s="298"/>
      <c r="E14" s="298" t="s">
        <v>394</v>
      </c>
      <c r="F14" s="298" t="s">
        <v>393</v>
      </c>
      <c r="G14" s="53" t="s">
        <v>139</v>
      </c>
      <c r="H14" s="53" t="s">
        <v>140</v>
      </c>
      <c r="I14" s="53" t="s">
        <v>141</v>
      </c>
      <c r="J14" s="53" t="s">
        <v>54</v>
      </c>
    </row>
    <row r="15" spans="1:10" ht="20.100000000000001" customHeigh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0">
        <v>9</v>
      </c>
      <c r="J15" s="150">
        <v>10</v>
      </c>
    </row>
    <row r="16" spans="1:10" ht="24.95" customHeight="1">
      <c r="A16" s="305" t="s">
        <v>76</v>
      </c>
      <c r="B16" s="305"/>
      <c r="C16" s="305"/>
      <c r="D16" s="305"/>
      <c r="E16" s="305"/>
      <c r="F16" s="305"/>
      <c r="G16" s="305"/>
      <c r="H16" s="305"/>
      <c r="I16" s="305"/>
      <c r="J16" s="305"/>
    </row>
    <row r="17" spans="1:10" ht="37.5">
      <c r="A17" s="19" t="s">
        <v>155</v>
      </c>
      <c r="B17" s="149">
        <f>'1.Фінансовий результат'!B14</f>
        <v>1040</v>
      </c>
      <c r="C17" s="46">
        <f>'1.Фінансовий результат'!C14</f>
        <v>44491</v>
      </c>
      <c r="D17" s="46">
        <f>'1.Фінансовий результат'!D14</f>
        <v>69481</v>
      </c>
      <c r="E17" s="46">
        <f>'1.Фінансовий результат'!E14</f>
        <v>69481</v>
      </c>
      <c r="F17" s="46">
        <f>'1.Фінансовий результат'!F14</f>
        <v>76945.84</v>
      </c>
      <c r="G17" s="46">
        <f>'1.Фінансовий результат'!G14</f>
        <v>19222.010000000002</v>
      </c>
      <c r="H17" s="46">
        <f>'1.Фінансовий результат'!H14</f>
        <v>19232.010000000002</v>
      </c>
      <c r="I17" s="46">
        <f>'1.Фінансовий результат'!I14</f>
        <v>19252.010000000002</v>
      </c>
      <c r="J17" s="46">
        <f>'1.Фінансовий результат'!J14</f>
        <v>19239.810000000001</v>
      </c>
    </row>
    <row r="18" spans="1:10" ht="37.5">
      <c r="A18" s="19" t="s">
        <v>127</v>
      </c>
      <c r="B18" s="149">
        <f>'1.Фінансовий результат'!B20</f>
        <v>1050</v>
      </c>
      <c r="C18" s="46">
        <f>'1.Фінансовий результат'!C20</f>
        <v>37982</v>
      </c>
      <c r="D18" s="46">
        <f>'1.Фінансовий результат'!D20</f>
        <v>60052.700000000004</v>
      </c>
      <c r="E18" s="46">
        <f>'1.Фінансовий результат'!E20</f>
        <v>60052.700000000004</v>
      </c>
      <c r="F18" s="46">
        <f>'1.Фінансовий результат'!F20</f>
        <v>67050.560000000012</v>
      </c>
      <c r="G18" s="46">
        <f>'1.Фінансовий результат'!G20</f>
        <v>16748.190000000002</v>
      </c>
      <c r="H18" s="46">
        <f>'1.Фінансовий результат'!H20</f>
        <v>16758.190000000002</v>
      </c>
      <c r="I18" s="46">
        <f>'1.Фінансовий результат'!I20</f>
        <v>16778.190000000002</v>
      </c>
      <c r="J18" s="46">
        <f>'1.Фінансовий результат'!J20</f>
        <v>16765.990000000002</v>
      </c>
    </row>
    <row r="19" spans="1:10" ht="37.5" customHeight="1">
      <c r="A19" s="20" t="s">
        <v>191</v>
      </c>
      <c r="B19" s="151">
        <f>'1.Фінансовий результат'!B64</f>
        <v>1060</v>
      </c>
      <c r="C19" s="45">
        <f>'1.Фінансовий результат'!C64</f>
        <v>6509</v>
      </c>
      <c r="D19" s="45">
        <f>'1.Фінансовий результат'!D64</f>
        <v>9428.2999999999956</v>
      </c>
      <c r="E19" s="45">
        <f>'1.Фінансовий результат'!E64</f>
        <v>9428.2999999999956</v>
      </c>
      <c r="F19" s="45">
        <f>'1.Фінансовий результат'!F64</f>
        <v>9895.2000000000007</v>
      </c>
      <c r="G19" s="45">
        <f>'1.Фінансовий результат'!G64</f>
        <v>2473.8199999999997</v>
      </c>
      <c r="H19" s="45">
        <f>'1.Фінансовий результат'!H64</f>
        <v>2473.8199999999997</v>
      </c>
      <c r="I19" s="45">
        <f>'1.Фінансовий результат'!I64</f>
        <v>2473.8199999999997</v>
      </c>
      <c r="J19" s="45">
        <f>'1.Фінансовий результат'!J64</f>
        <v>2473.8199999999997</v>
      </c>
    </row>
    <row r="20" spans="1:10" ht="20.100000000000001" customHeight="1">
      <c r="A20" s="19" t="s">
        <v>228</v>
      </c>
      <c r="B20" s="149">
        <f>'1.Фінансовий результат'!B65</f>
        <v>1070</v>
      </c>
      <c r="C20" s="46">
        <f>'1.Фінансовий результат'!C65</f>
        <v>1343</v>
      </c>
      <c r="D20" s="46">
        <f>'1.Фінансовий результат'!D65</f>
        <v>1467</v>
      </c>
      <c r="E20" s="46">
        <f>'1.Фінансовий результат'!E65</f>
        <v>1467</v>
      </c>
      <c r="F20" s="46">
        <f>'1.Фінансовий результат'!F65</f>
        <v>1470</v>
      </c>
      <c r="G20" s="46">
        <f>'1.Фінансовий результат'!G65</f>
        <v>367.5</v>
      </c>
      <c r="H20" s="46">
        <f>'1.Фінансовий результат'!H65</f>
        <v>367.5</v>
      </c>
      <c r="I20" s="46">
        <f>'1.Фінансовий результат'!I65</f>
        <v>367.5</v>
      </c>
      <c r="J20" s="46">
        <f>'1.Фінансовий результат'!J65</f>
        <v>367.5</v>
      </c>
    </row>
    <row r="21" spans="1:10" ht="20.100000000000001" customHeight="1">
      <c r="A21" s="19" t="s">
        <v>104</v>
      </c>
      <c r="B21" s="149">
        <f>'1.Фінансовий результат'!B69</f>
        <v>1080</v>
      </c>
      <c r="C21" s="46">
        <f>'1.Фінансовий результат'!C69</f>
        <v>4278</v>
      </c>
      <c r="D21" s="46">
        <f>'1.Фінансовий результат'!D69</f>
        <v>5962.3000000000011</v>
      </c>
      <c r="E21" s="46">
        <f>'1.Фінансовий результат'!E69</f>
        <v>5962.3000000000011</v>
      </c>
      <c r="F21" s="46">
        <f>'1.Фінансовий результат'!F69</f>
        <v>6467.24</v>
      </c>
      <c r="G21" s="46">
        <f>'1.Фінансовий результат'!G69</f>
        <v>1683.31</v>
      </c>
      <c r="H21" s="46">
        <f>'1.Фінансовий результат'!H69</f>
        <v>1593.31</v>
      </c>
      <c r="I21" s="46">
        <f>'1.Фінансовий результат'!I69</f>
        <v>1595.31</v>
      </c>
      <c r="J21" s="46">
        <f>'1.Фінансовий результат'!J69</f>
        <v>1595.31</v>
      </c>
    </row>
    <row r="22" spans="1:10" ht="20.100000000000001" customHeight="1">
      <c r="A22" s="19" t="s">
        <v>101</v>
      </c>
      <c r="B22" s="149">
        <f>'1.Фінансовий результат'!B101</f>
        <v>1110</v>
      </c>
      <c r="C22" s="46">
        <f>'1.Фінансовий результат'!C101</f>
        <v>1817</v>
      </c>
      <c r="D22" s="46">
        <f>'1.Фінансовий результат'!D101</f>
        <v>2749.2</v>
      </c>
      <c r="E22" s="46">
        <f>'1.Фінансовий результат'!E101</f>
        <v>2749.2</v>
      </c>
      <c r="F22" s="46">
        <f>'1.Фінансовий результат'!F101</f>
        <v>3126</v>
      </c>
      <c r="G22" s="46">
        <f>'1.Фінансовий результат'!G101</f>
        <v>781.5</v>
      </c>
      <c r="H22" s="46">
        <f>'1.Фінансовий результат'!H101</f>
        <v>781.5</v>
      </c>
      <c r="I22" s="46">
        <f>'1.Фінансовий результат'!I101</f>
        <v>781.5</v>
      </c>
      <c r="J22" s="46">
        <f>'1.Фінансовий результат'!J101</f>
        <v>781.5</v>
      </c>
    </row>
    <row r="23" spans="1:10" ht="20.100000000000001" customHeight="1">
      <c r="A23" s="19" t="s">
        <v>12</v>
      </c>
      <c r="B23" s="149">
        <f>'1.Фінансовий результат'!B112</f>
        <v>1120</v>
      </c>
      <c r="C23" s="46">
        <f>'1.Фінансовий результат'!C112</f>
        <v>199</v>
      </c>
      <c r="D23" s="46">
        <f>'1.Фінансовий результат'!D112</f>
        <v>105.4</v>
      </c>
      <c r="E23" s="46">
        <f>'1.Фінансовий результат'!E112</f>
        <v>105.4</v>
      </c>
      <c r="F23" s="46">
        <f>'1.Фінансовий результат'!F112</f>
        <v>249.6</v>
      </c>
      <c r="G23" s="46">
        <f>'1.Фінансовий результат'!G112</f>
        <v>62.4</v>
      </c>
      <c r="H23" s="46">
        <f>'1.Фінансовий результат'!H112</f>
        <v>62.4</v>
      </c>
      <c r="I23" s="46">
        <f>'1.Фінансовий результат'!I112</f>
        <v>62.4</v>
      </c>
      <c r="J23" s="46">
        <f>'1.Фінансовий результат'!J112</f>
        <v>62.4</v>
      </c>
    </row>
    <row r="24" spans="1:10" ht="38.25" customHeight="1">
      <c r="A24" s="29" t="s">
        <v>232</v>
      </c>
      <c r="B24" s="30">
        <f>'1.Фінансовий результат'!B126</f>
        <v>1130</v>
      </c>
      <c r="C24" s="51">
        <f>'1.Фінансовий результат'!C126</f>
        <v>1558</v>
      </c>
      <c r="D24" s="51">
        <f>'1.Фінансовий результат'!D126</f>
        <v>2078.3999999999946</v>
      </c>
      <c r="E24" s="51">
        <f>'1.Фінансовий результат'!E126</f>
        <v>2078.3999999999946</v>
      </c>
      <c r="F24" s="51">
        <f>'1.Фінансовий результат'!F126</f>
        <v>1522.360000000001</v>
      </c>
      <c r="G24" s="51">
        <f>'1.Фінансовий результат'!G126</f>
        <v>314.10999999999979</v>
      </c>
      <c r="H24" s="51">
        <f>'1.Фінансовий результат'!H126</f>
        <v>404.10999999999979</v>
      </c>
      <c r="I24" s="51">
        <f>'1.Фінансовий результат'!I126</f>
        <v>402.10999999999979</v>
      </c>
      <c r="J24" s="51">
        <f>'1.Фінансовий результат'!J126</f>
        <v>402.10999999999979</v>
      </c>
    </row>
    <row r="25" spans="1:10" ht="20.100000000000001" customHeight="1">
      <c r="A25" s="16" t="s">
        <v>239</v>
      </c>
      <c r="B25" s="149">
        <f>'1.Фінансовий результат'!B127</f>
        <v>1140</v>
      </c>
      <c r="C25" s="46">
        <f>'1.Фінансовий результат'!C127</f>
        <v>3</v>
      </c>
      <c r="D25" s="46">
        <f>'1.Фінансовий результат'!D127</f>
        <v>0</v>
      </c>
      <c r="E25" s="46">
        <f>'1.Фінансовий результат'!E127</f>
        <v>0</v>
      </c>
      <c r="F25" s="46">
        <f>'1.Фінансовий результат'!F127</f>
        <v>10</v>
      </c>
      <c r="G25" s="46">
        <f>'1.Фінансовий результат'!G127</f>
        <v>2.5</v>
      </c>
      <c r="H25" s="46">
        <f>'1.Фінансовий результат'!H127</f>
        <v>2.5</v>
      </c>
      <c r="I25" s="46">
        <f>'1.Фінансовий результат'!I127</f>
        <v>2.5</v>
      </c>
      <c r="J25" s="46">
        <f>'1.Фінансовий результат'!J127</f>
        <v>2.5</v>
      </c>
    </row>
    <row r="26" spans="1:10" ht="20.100000000000001" customHeight="1">
      <c r="A26" s="16" t="s">
        <v>240</v>
      </c>
      <c r="B26" s="149">
        <f>'1.Фінансовий результат'!B128</f>
        <v>1150</v>
      </c>
      <c r="C26" s="46">
        <f>'1.Фінансовий результат'!C128</f>
        <v>50</v>
      </c>
      <c r="D26" s="46">
        <f>'1.Фінансовий результат'!D128</f>
        <v>62</v>
      </c>
      <c r="E26" s="46">
        <f>'1.Фінансовий результат'!E128</f>
        <v>62</v>
      </c>
      <c r="F26" s="46">
        <f>'1.Фінансовий результат'!F128</f>
        <v>10</v>
      </c>
      <c r="G26" s="46">
        <f>'1.Фінансовий результат'!G128</f>
        <v>2.5</v>
      </c>
      <c r="H26" s="46">
        <f>'1.Фінансовий результат'!H128</f>
        <v>2.5</v>
      </c>
      <c r="I26" s="46">
        <f>'1.Фінансовий результат'!I128</f>
        <v>2.5</v>
      </c>
      <c r="J26" s="46">
        <f>'1.Фінансовий результат'!J128</f>
        <v>2.5</v>
      </c>
    </row>
    <row r="27" spans="1:10" ht="20.100000000000001" customHeight="1">
      <c r="A27" s="19" t="s">
        <v>229</v>
      </c>
      <c r="B27" s="149">
        <f>'1.Фінансовий результат'!B129</f>
        <v>1160</v>
      </c>
      <c r="C27" s="46">
        <f>'1.Фінансовий результат'!C129</f>
        <v>519</v>
      </c>
      <c r="D27" s="46">
        <f>'1.Фінансовий результат'!D129</f>
        <v>328</v>
      </c>
      <c r="E27" s="46">
        <f>'1.Фінансовий результат'!E129</f>
        <v>328</v>
      </c>
      <c r="F27" s="46">
        <f>'1.Фінансовий результат'!F129</f>
        <v>328</v>
      </c>
      <c r="G27" s="46">
        <f>'1.Фінансовий результат'!G129</f>
        <v>82</v>
      </c>
      <c r="H27" s="46">
        <f>'1.Фінансовий результат'!H129</f>
        <v>82</v>
      </c>
      <c r="I27" s="46">
        <f>'1.Фінансовий результат'!I129</f>
        <v>82</v>
      </c>
      <c r="J27" s="46">
        <f>'1.Фінансовий результат'!J129</f>
        <v>82</v>
      </c>
    </row>
    <row r="28" spans="1:10" ht="20.100000000000001" customHeight="1">
      <c r="A28" s="19" t="s">
        <v>230</v>
      </c>
      <c r="B28" s="149">
        <f>'1.Фінансовий результат'!B131</f>
        <v>1170</v>
      </c>
      <c r="C28" s="46">
        <f>'1.Фінансовий результат'!C131</f>
        <v>0</v>
      </c>
      <c r="D28" s="46">
        <f>'1.Фінансовий результат'!D131</f>
        <v>0</v>
      </c>
      <c r="E28" s="46">
        <f>'1.Фінансовий результат'!E131</f>
        <v>0</v>
      </c>
      <c r="F28" s="46">
        <f>'1.Фінансовий результат'!F131</f>
        <v>0</v>
      </c>
      <c r="G28" s="46">
        <f>'1.Фінансовий результат'!G131</f>
        <v>0</v>
      </c>
      <c r="H28" s="46">
        <f>'1.Фінансовий результат'!H131</f>
        <v>0</v>
      </c>
      <c r="I28" s="46">
        <f>'1.Фінансовий результат'!I131</f>
        <v>0</v>
      </c>
      <c r="J28" s="46">
        <f>'1.Фінансовий результат'!J131</f>
        <v>0</v>
      </c>
    </row>
    <row r="29" spans="1:10" ht="43.5" customHeight="1">
      <c r="A29" s="21" t="s">
        <v>234</v>
      </c>
      <c r="B29" s="151">
        <f>'1.Фінансовий результат'!B132</f>
        <v>1200</v>
      </c>
      <c r="C29" s="45">
        <f>'1.Фінансовий результат'!C132</f>
        <v>2030</v>
      </c>
      <c r="D29" s="45">
        <f>'1.Фінансовий результат'!D132</f>
        <v>2344.3999999999946</v>
      </c>
      <c r="E29" s="45">
        <f>'1.Фінансовий результат'!E132</f>
        <v>2344.3999999999946</v>
      </c>
      <c r="F29" s="45">
        <f>'1.Фінансовий результат'!F132</f>
        <v>1850.4</v>
      </c>
      <c r="G29" s="45">
        <f>'1.Фінансовий результат'!G132</f>
        <v>396.1</v>
      </c>
      <c r="H29" s="45">
        <f>'1.Фінансовий результат'!H132</f>
        <v>486.1</v>
      </c>
      <c r="I29" s="45">
        <f>'1.Фінансовий результат'!I132</f>
        <v>484.1</v>
      </c>
      <c r="J29" s="45">
        <f>'1.Фінансовий результат'!J132</f>
        <v>484.1</v>
      </c>
    </row>
    <row r="30" spans="1:10" ht="20.100000000000001" customHeight="1">
      <c r="A30" s="5" t="s">
        <v>102</v>
      </c>
      <c r="B30" s="149">
        <f>'1.Фінансовий результат'!B133</f>
        <v>1210</v>
      </c>
      <c r="C30" s="46">
        <f>'1.Фінансовий результат'!C133</f>
        <v>365</v>
      </c>
      <c r="D30" s="46">
        <f>'1.Фінансовий результат'!D133</f>
        <v>421.991999999999</v>
      </c>
      <c r="E30" s="46">
        <f>'1.Фінансовий результат'!E133</f>
        <v>421.991999999999</v>
      </c>
      <c r="F30" s="46">
        <f>'1.Фінансовий результат'!F133</f>
        <v>332.99599999999998</v>
      </c>
      <c r="G30" s="46">
        <f>'1.Фінансовий результат'!G133</f>
        <v>71.298000000000002</v>
      </c>
      <c r="H30" s="46">
        <f>'1.Фінансовий результат'!H133</f>
        <v>87.498000000000005</v>
      </c>
      <c r="I30" s="46">
        <f>'1.Фінансовий результат'!I133</f>
        <v>87.1</v>
      </c>
      <c r="J30" s="46">
        <f>'1.Фінансовий результат'!J133</f>
        <v>87.1</v>
      </c>
    </row>
    <row r="31" spans="1:10" ht="37.5">
      <c r="A31" s="29" t="s">
        <v>235</v>
      </c>
      <c r="B31" s="30">
        <f>'1.Фінансовий результат'!B135</f>
        <v>1230</v>
      </c>
      <c r="C31" s="51">
        <f>'1.Фінансовий результат'!C135</f>
        <v>1665</v>
      </c>
      <c r="D31" s="51">
        <f>'1.Фінансовий результат'!D135</f>
        <v>1922.4079999999956</v>
      </c>
      <c r="E31" s="51">
        <f>'1.Фінансовий результат'!E135</f>
        <v>1922.4079999999956</v>
      </c>
      <c r="F31" s="51">
        <f>'1.Фінансовий результат'!F135</f>
        <v>1517.404</v>
      </c>
      <c r="G31" s="51">
        <f>'1.Фінансовий результат'!G135</f>
        <v>324.80200000000002</v>
      </c>
      <c r="H31" s="51">
        <f>'1.Фінансовий результат'!H135</f>
        <v>398.60200000000003</v>
      </c>
      <c r="I31" s="51">
        <f>'1.Фінансовий результат'!I135</f>
        <v>397</v>
      </c>
      <c r="J31" s="51">
        <f>'1.Фінансовий результат'!J135</f>
        <v>397</v>
      </c>
    </row>
    <row r="32" spans="1:10" ht="24.95" customHeight="1">
      <c r="A32" s="306" t="s">
        <v>113</v>
      </c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20.100000000000001" customHeight="1">
      <c r="A33" s="18" t="s">
        <v>182</v>
      </c>
      <c r="B33" s="149">
        <f>'2. Розрахунки з бюджетом'!B18</f>
        <v>2100</v>
      </c>
      <c r="C33" s="46">
        <f>'2. Розрахунки з бюджетом'!C18</f>
        <v>235.3</v>
      </c>
      <c r="D33" s="286">
        <f>'2. Розрахунки з бюджетом'!D18</f>
        <v>303.86120000000005</v>
      </c>
      <c r="E33" s="286">
        <f>'2. Розрахунки з бюджетом'!E18</f>
        <v>303.86120000000005</v>
      </c>
      <c r="F33" s="46">
        <f>'2. Розрахунки з бюджетом'!F18</f>
        <v>227.61060000000003</v>
      </c>
      <c r="G33" s="46">
        <f>'2. Розрахунки з бюджетом'!G18</f>
        <v>48.720300000000002</v>
      </c>
      <c r="H33" s="46">
        <f>'2. Розрахунки з бюджетом'!H18</f>
        <v>59.790300000000002</v>
      </c>
      <c r="I33" s="46">
        <f>'2. Розрахунки з бюджетом'!I18</f>
        <v>59.55</v>
      </c>
      <c r="J33" s="46">
        <f>'2. Розрахунки з бюджетом'!J18</f>
        <v>59.55</v>
      </c>
    </row>
    <row r="34" spans="1:10" ht="20.100000000000001" customHeight="1">
      <c r="A34" s="12" t="s">
        <v>112</v>
      </c>
      <c r="B34" s="149">
        <f>'2. Розрахунки з бюджетом'!B19</f>
        <v>2110</v>
      </c>
      <c r="C34" s="46">
        <f>'2. Розрахунки з бюджетом'!C19</f>
        <v>365</v>
      </c>
      <c r="D34" s="46">
        <f>'2. Розрахунки з бюджетом'!D19</f>
        <v>421.991999999999</v>
      </c>
      <c r="E34" s="46">
        <f>'2. Розрахунки з бюджетом'!E19</f>
        <v>421.991999999999</v>
      </c>
      <c r="F34" s="46">
        <f>'2. Розрахунки з бюджетом'!F19</f>
        <v>332.99599999999998</v>
      </c>
      <c r="G34" s="46">
        <f>'2. Розрахунки з бюджетом'!G19</f>
        <v>71.298000000000002</v>
      </c>
      <c r="H34" s="46">
        <f>'2. Розрахунки з бюджетом'!H19</f>
        <v>87.498000000000005</v>
      </c>
      <c r="I34" s="46">
        <f>'2. Розрахунки з бюджетом'!I19</f>
        <v>87.1</v>
      </c>
      <c r="J34" s="46">
        <f>'2. Розрахунки з бюджетом'!J19</f>
        <v>87.1</v>
      </c>
    </row>
    <row r="35" spans="1:10" ht="56.25">
      <c r="A35" s="12" t="s">
        <v>208</v>
      </c>
      <c r="B35" s="149">
        <f>'2. Розрахунки з бюджетом'!B20</f>
        <v>2120</v>
      </c>
      <c r="C35" s="46">
        <f>'2. Розрахунки з бюджетом'!C20</f>
        <v>1900.2</v>
      </c>
      <c r="D35" s="46">
        <f>'2. Розрахунки з бюджетом'!D20</f>
        <v>4754.2</v>
      </c>
      <c r="E35" s="46">
        <f>'2. Розрахунки з бюджетом'!E20</f>
        <v>4754.2</v>
      </c>
      <c r="F35" s="46">
        <f>'2. Розрахунки з бюджетом'!F20</f>
        <v>5500</v>
      </c>
      <c r="G35" s="46">
        <f>'2. Розрахунки з бюджетом'!G20</f>
        <v>1375</v>
      </c>
      <c r="H35" s="46">
        <f>'2. Розрахунки з бюджетом'!H20</f>
        <v>1375</v>
      </c>
      <c r="I35" s="46">
        <f>'2. Розрахунки з бюджетом'!I20</f>
        <v>1375</v>
      </c>
      <c r="J35" s="46">
        <f>'2. Розрахунки з бюджетом'!J20</f>
        <v>1375</v>
      </c>
    </row>
    <row r="36" spans="1:10" ht="56.25">
      <c r="A36" s="12" t="s">
        <v>209</v>
      </c>
      <c r="B36" s="149">
        <f>'2. Розрахунки з бюджетом'!B21</f>
        <v>2130</v>
      </c>
      <c r="C36" s="46">
        <f>'2. Розрахунки з бюджетом'!C21</f>
        <v>0</v>
      </c>
      <c r="D36" s="46">
        <f>'2. Розрахунки з бюджетом'!D21</f>
        <v>0</v>
      </c>
      <c r="E36" s="46">
        <f>'2. Розрахунки з бюджетом'!E21</f>
        <v>0</v>
      </c>
      <c r="F36" s="46">
        <f>'2. Розрахунки з бюджетом'!F21</f>
        <v>0</v>
      </c>
      <c r="G36" s="46">
        <f>'2. Розрахунки з бюджетом'!G21</f>
        <v>0</v>
      </c>
      <c r="H36" s="46">
        <f>'2. Розрахунки з бюджетом'!H21</f>
        <v>0</v>
      </c>
      <c r="I36" s="46">
        <f>'2. Розрахунки з бюджетом'!I21</f>
        <v>0</v>
      </c>
      <c r="J36" s="46">
        <f>'2. Розрахунки з бюджетом'!J21</f>
        <v>0</v>
      </c>
    </row>
    <row r="37" spans="1:10" ht="37.5">
      <c r="A37" s="18" t="s">
        <v>175</v>
      </c>
      <c r="B37" s="149">
        <f>'2. Розрахунки з бюджетом'!B22</f>
        <v>2140</v>
      </c>
      <c r="C37" s="46">
        <f>'2. Розрахунки з бюджетом'!C22</f>
        <v>3605.3999999999996</v>
      </c>
      <c r="D37" s="46">
        <f>'2. Розрахунки з бюджетом'!D22</f>
        <v>4285.1000000000004</v>
      </c>
      <c r="E37" s="46">
        <f>'2. Розрахунки з бюджетом'!E22</f>
        <v>4285.1000000000004</v>
      </c>
      <c r="F37" s="46">
        <f>'2. Розрахунки з бюджетом'!F22</f>
        <v>4535.8879999999999</v>
      </c>
      <c r="G37" s="46">
        <f>'2. Розрахунки з бюджетом'!G22</f>
        <v>1133.972</v>
      </c>
      <c r="H37" s="46">
        <f>'2. Розрахунки з бюджетом'!H22</f>
        <v>1133.972</v>
      </c>
      <c r="I37" s="46">
        <f>'2. Розрахунки з бюджетом'!I22</f>
        <v>1133.972</v>
      </c>
      <c r="J37" s="46">
        <f>'2. Розрахунки з бюджетом'!J22</f>
        <v>1133.972</v>
      </c>
    </row>
    <row r="38" spans="1:10" ht="39" customHeight="1">
      <c r="A38" s="18" t="s">
        <v>64</v>
      </c>
      <c r="B38" s="149">
        <f>'2. Розрахунки з бюджетом'!B38</f>
        <v>2150</v>
      </c>
      <c r="C38" s="46">
        <f>'2. Розрахунки з бюджетом'!C38</f>
        <v>1957</v>
      </c>
      <c r="D38" s="46">
        <f>'2. Розрахунки з бюджетом'!D38</f>
        <v>3074.4</v>
      </c>
      <c r="E38" s="46">
        <f>'2. Розрахунки з бюджетом'!E38</f>
        <v>3074.4</v>
      </c>
      <c r="F38" s="46">
        <f>'2. Розрахунки з бюджетом'!F38</f>
        <v>3256</v>
      </c>
      <c r="G38" s="46">
        <f>'2. Розрахунки з бюджетом'!G38</f>
        <v>814</v>
      </c>
      <c r="H38" s="46">
        <f>'2. Розрахунки з бюджетом'!H38</f>
        <v>814</v>
      </c>
      <c r="I38" s="46">
        <f>'2. Розрахунки з бюджетом'!I38</f>
        <v>814</v>
      </c>
      <c r="J38" s="46">
        <f>'2. Розрахунки з бюджетом'!J38</f>
        <v>814</v>
      </c>
    </row>
    <row r="39" spans="1:10" ht="20.100000000000001" customHeight="1">
      <c r="A39" s="17" t="s">
        <v>183</v>
      </c>
      <c r="B39" s="151">
        <f>'2. Розрахунки з бюджетом'!B39</f>
        <v>2200</v>
      </c>
      <c r="C39" s="45">
        <f>'2. Розрахунки з бюджетом'!C39</f>
        <v>8062.9</v>
      </c>
      <c r="D39" s="45">
        <f>'2. Розрахунки з бюджетом'!D39</f>
        <v>12839.553199999998</v>
      </c>
      <c r="E39" s="45">
        <f>'2. Розрахунки з бюджетом'!E39</f>
        <v>12839.553199999998</v>
      </c>
      <c r="F39" s="45">
        <f>'2. Розрахунки з бюджетом'!F39</f>
        <v>13852.4946</v>
      </c>
      <c r="G39" s="45">
        <f>'2. Розрахунки з бюджетом'!G39</f>
        <v>3442.9902999999999</v>
      </c>
      <c r="H39" s="45">
        <f>'2. Розрахунки з бюджетом'!H39</f>
        <v>3470.2602999999999</v>
      </c>
      <c r="I39" s="45">
        <f>'2. Розрахунки з бюджетом'!I39</f>
        <v>3469.6220000000003</v>
      </c>
      <c r="J39" s="45">
        <f>'2. Розрахунки з бюджетом'!J39</f>
        <v>3469.6220000000003</v>
      </c>
    </row>
    <row r="40" spans="1:10" ht="24.95" customHeight="1">
      <c r="A40" s="306" t="s">
        <v>111</v>
      </c>
      <c r="B40" s="306"/>
      <c r="C40" s="306"/>
      <c r="D40" s="306"/>
      <c r="E40" s="306"/>
      <c r="F40" s="306"/>
      <c r="G40" s="306"/>
      <c r="H40" s="306"/>
      <c r="I40" s="306"/>
      <c r="J40" s="306"/>
    </row>
    <row r="41" spans="1:10" ht="20.100000000000001" customHeight="1">
      <c r="A41" s="17" t="s">
        <v>105</v>
      </c>
      <c r="B41" s="151">
        <f>'3. Рух грошових коштів'!B77</f>
        <v>3600</v>
      </c>
      <c r="C41" s="45">
        <f>'3. Рух грошових коштів'!C77</f>
        <v>689</v>
      </c>
      <c r="D41" s="45">
        <f>'3. Рух грошових коштів'!D77</f>
        <v>37</v>
      </c>
      <c r="E41" s="45">
        <f>'3. Рух грошових коштів'!E77</f>
        <v>37</v>
      </c>
      <c r="F41" s="45">
        <f>'3. Рух грошових коштів'!F77</f>
        <v>2213.9000000000078</v>
      </c>
      <c r="G41" s="45">
        <f>'3. Рух грошових коштів'!G77</f>
        <v>2213.9000000000078</v>
      </c>
      <c r="H41" s="45">
        <f>'3. Рух грошових коштів'!H77</f>
        <v>3506.6014000000068</v>
      </c>
      <c r="I41" s="45">
        <f>'3. Рух грошових коштів'!I77</f>
        <v>4760.9628000000084</v>
      </c>
      <c r="J41" s="45">
        <f>'3. Рух грошових коштів'!J77</f>
        <v>6016.2028000000091</v>
      </c>
    </row>
    <row r="42" spans="1:10" ht="37.5">
      <c r="A42" s="18" t="s">
        <v>106</v>
      </c>
      <c r="B42" s="149">
        <f>'3. Рух грошових коштів'!B32</f>
        <v>3090</v>
      </c>
      <c r="C42" s="46">
        <f>'3. Рух грошових коштів'!C32</f>
        <v>-8331</v>
      </c>
      <c r="D42" s="46">
        <f>'3. Рух грошових коштів'!D32</f>
        <v>-1111.0999999999913</v>
      </c>
      <c r="E42" s="46">
        <f>'3. Рух грошових коштів'!E32</f>
        <v>-1111.0999999999913</v>
      </c>
      <c r="F42" s="46">
        <f>'3. Рух грошових коштів'!F32</f>
        <v>4235.1533999999956</v>
      </c>
      <c r="G42" s="46">
        <f>'3. Рух грошових коштів'!G32</f>
        <v>1078.921699999999</v>
      </c>
      <c r="H42" s="46">
        <f>'3. Рух грошових коштів'!H32</f>
        <v>1051.6517000000022</v>
      </c>
      <c r="I42" s="46">
        <f>'3. Рух грошових коштів'!I32</f>
        <v>1052.2900000000009</v>
      </c>
      <c r="J42" s="46">
        <f>'3. Рух грошових коштів'!J32</f>
        <v>1052.2900000000009</v>
      </c>
    </row>
    <row r="43" spans="1:10" ht="37.5">
      <c r="A43" s="18" t="s">
        <v>169</v>
      </c>
      <c r="B43" s="149">
        <f>'3. Рух грошових коштів'!B49</f>
        <v>3320</v>
      </c>
      <c r="C43" s="46">
        <f>'3. Рух грошових коштів'!C49</f>
        <v>-5100</v>
      </c>
      <c r="D43" s="46">
        <f>'3. Рух грошових коштів'!D49</f>
        <v>-834.8</v>
      </c>
      <c r="E43" s="46">
        <f>'3. Рух грошових коштів'!E49</f>
        <v>-834.8</v>
      </c>
      <c r="F43" s="46">
        <f>'3. Рух грошових коштів'!F49</f>
        <v>-6100</v>
      </c>
      <c r="G43" s="46">
        <f>'3. Рух грошових коштів'!G49</f>
        <v>-137.5</v>
      </c>
      <c r="H43" s="46">
        <f>'3. Рух грошових коштів'!H49</f>
        <v>-137.5</v>
      </c>
      <c r="I43" s="46">
        <f>'3. Рух грошових коштів'!I49</f>
        <v>-137.5</v>
      </c>
      <c r="J43" s="46">
        <f>'3. Рух грошових коштів'!J49</f>
        <v>-5687.5</v>
      </c>
    </row>
    <row r="44" spans="1:10" ht="37.5">
      <c r="A44" s="18" t="s">
        <v>107</v>
      </c>
      <c r="B44" s="149">
        <f>'3. Рух грошових коштів'!B75</f>
        <v>3580</v>
      </c>
      <c r="C44" s="46">
        <f>'3. Рух грошових коштів'!C75</f>
        <v>12779</v>
      </c>
      <c r="D44" s="46">
        <f>'3. Рух грошових коштів'!D75</f>
        <v>4122.7999999999993</v>
      </c>
      <c r="E44" s="46">
        <f>'3. Рух грошових коштів'!E75</f>
        <v>4122.7999999999993</v>
      </c>
      <c r="F44" s="46">
        <f>'3. Рух грошових коштів'!F75</f>
        <v>1372.3894</v>
      </c>
      <c r="G44" s="46">
        <f>'3. Рух грошових коштів'!G75</f>
        <v>351.27970000000005</v>
      </c>
      <c r="H44" s="46">
        <f>'3. Рух грошових коштів'!H75</f>
        <v>340.2097</v>
      </c>
      <c r="I44" s="46">
        <f>'3. Рух грошових коштів'!I75</f>
        <v>340.45000000000005</v>
      </c>
      <c r="J44" s="46">
        <f>'3. Рух грошових коштів'!J75</f>
        <v>340.45000000000005</v>
      </c>
    </row>
    <row r="45" spans="1:10" ht="20.100000000000001" customHeight="1">
      <c r="A45" s="18" t="s">
        <v>125</v>
      </c>
      <c r="B45" s="149">
        <f>'3. Рух грошових коштів'!B78</f>
        <v>3610</v>
      </c>
      <c r="C45" s="46">
        <f>'3. Рух грошових коштів'!C78</f>
        <v>0</v>
      </c>
      <c r="D45" s="46">
        <f>'3. Рух грошових коштів'!D78</f>
        <v>0</v>
      </c>
      <c r="E45" s="46">
        <f>'3. Рух грошових коштів'!E78</f>
        <v>0</v>
      </c>
      <c r="F45" s="46">
        <f>'3. Рух грошових коштів'!F78</f>
        <v>0</v>
      </c>
      <c r="G45" s="46">
        <f>'3. Рух грошових коштів'!G78</f>
        <v>0</v>
      </c>
      <c r="H45" s="46">
        <f>'3. Рух грошових коштів'!H78</f>
        <v>0</v>
      </c>
      <c r="I45" s="46">
        <f>'3. Рух грошових коштів'!I78</f>
        <v>0</v>
      </c>
      <c r="J45" s="46">
        <f>'3. Рух грошових коштів'!J78</f>
        <v>0</v>
      </c>
    </row>
    <row r="46" spans="1:10">
      <c r="A46" s="17" t="s">
        <v>108</v>
      </c>
      <c r="B46" s="151">
        <f>'3. Рух грошових коштів'!B79</f>
        <v>3620</v>
      </c>
      <c r="C46" s="45">
        <f>'3. Рух грошових коштів'!C79</f>
        <v>37</v>
      </c>
      <c r="D46" s="45">
        <f>'3. Рух грошових коштів'!D79</f>
        <v>2213.9000000000078</v>
      </c>
      <c r="E46" s="45">
        <f>'3. Рух грошових коштів'!E79</f>
        <v>2213.9000000000078</v>
      </c>
      <c r="F46" s="45">
        <f>'3. Рух грошових коштів'!F79</f>
        <v>1721.4428000000034</v>
      </c>
      <c r="G46" s="45">
        <f>'3. Рух грошових коштів'!G79</f>
        <v>3506.6014000000068</v>
      </c>
      <c r="H46" s="45">
        <f>'3. Рух грошових коштів'!H79</f>
        <v>4760.9628000000084</v>
      </c>
      <c r="I46" s="45">
        <f>'3. Рух грошових коштів'!I79</f>
        <v>6016.2028000000091</v>
      </c>
      <c r="J46" s="45">
        <f>'3. Рух грошових коштів'!J79</f>
        <v>1721.4428000000098</v>
      </c>
    </row>
    <row r="47" spans="1:10" ht="24.95" customHeight="1">
      <c r="A47" s="302" t="s">
        <v>158</v>
      </c>
      <c r="B47" s="303"/>
      <c r="C47" s="303"/>
      <c r="D47" s="303"/>
      <c r="E47" s="303"/>
      <c r="F47" s="303"/>
      <c r="G47" s="303"/>
      <c r="H47" s="303"/>
      <c r="I47" s="303"/>
      <c r="J47" s="304"/>
    </row>
    <row r="48" spans="1:10" ht="20.100000000000001" customHeight="1">
      <c r="A48" s="18" t="s">
        <v>157</v>
      </c>
      <c r="B48" s="149">
        <f>'4. Кап. інвестиції'!B7</f>
        <v>4000</v>
      </c>
      <c r="C48" s="46">
        <f>'4. Кап. інвестиції'!C7</f>
        <v>5582.0868000000009</v>
      </c>
      <c r="D48" s="46">
        <f>'4. Кап. інвестиції'!D7</f>
        <v>2039.8</v>
      </c>
      <c r="E48" s="46">
        <f>'4. Кап. інвестиції'!E7</f>
        <v>2039.8</v>
      </c>
      <c r="F48" s="46">
        <f>'4. Кап. інвестиції'!F7</f>
        <v>7423</v>
      </c>
      <c r="G48" s="46">
        <f>'4. Кап. інвестиції'!G7</f>
        <v>137.5</v>
      </c>
      <c r="H48" s="46">
        <f>'4. Кап. інвестиції'!H7</f>
        <v>137.5</v>
      </c>
      <c r="I48" s="46">
        <f>'4. Кап. інвестиції'!I7</f>
        <v>1460.5</v>
      </c>
      <c r="J48" s="46">
        <f>'4. Кап. інвестиції'!J7</f>
        <v>5687.5</v>
      </c>
    </row>
    <row r="49" spans="1:10" s="57" customFormat="1" ht="24.95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</row>
    <row r="50" spans="1:10" s="57" customFormat="1" ht="24.9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24.95" customHeight="1">
      <c r="A51" s="34"/>
      <c r="C51" s="25"/>
      <c r="D51" s="25"/>
      <c r="E51" s="25"/>
      <c r="F51" s="25"/>
      <c r="G51" s="25"/>
      <c r="H51" s="25"/>
      <c r="I51" s="25"/>
      <c r="J51" s="25"/>
    </row>
    <row r="52" spans="1:10" ht="19.5" customHeight="1">
      <c r="A52" s="38" t="s">
        <v>631</v>
      </c>
      <c r="B52" s="1"/>
      <c r="C52" s="299" t="s">
        <v>81</v>
      </c>
      <c r="D52" s="299"/>
      <c r="E52" s="299"/>
      <c r="F52" s="300"/>
      <c r="G52" s="6"/>
      <c r="H52" s="301" t="s">
        <v>626</v>
      </c>
      <c r="I52" s="301"/>
      <c r="J52" s="301"/>
    </row>
    <row r="53" spans="1:10" s="2" customFormat="1" ht="15.75" customHeight="1">
      <c r="A53" s="39" t="s">
        <v>59</v>
      </c>
      <c r="B53" s="36"/>
      <c r="C53" s="294" t="s">
        <v>60</v>
      </c>
      <c r="D53" s="294"/>
      <c r="E53" s="294"/>
      <c r="F53" s="294"/>
      <c r="G53" s="37"/>
      <c r="H53" s="294" t="s">
        <v>78</v>
      </c>
      <c r="I53" s="294"/>
      <c r="J53" s="294"/>
    </row>
    <row r="54" spans="1:10">
      <c r="J54" s="57"/>
    </row>
    <row r="55" spans="1:10">
      <c r="A55" s="13"/>
    </row>
    <row r="56" spans="1:10">
      <c r="A56" s="13"/>
    </row>
    <row r="57" spans="1:10">
      <c r="A57" s="13"/>
    </row>
    <row r="58" spans="1:10" s="9" customFormat="1">
      <c r="A58" s="13"/>
      <c r="F58" s="49"/>
      <c r="G58" s="49"/>
      <c r="H58" s="49"/>
      <c r="I58" s="49"/>
      <c r="J58" s="49"/>
    </row>
    <row r="59" spans="1:10" s="9" customFormat="1">
      <c r="A59" s="13"/>
      <c r="F59" s="49"/>
      <c r="G59" s="49"/>
      <c r="H59" s="49"/>
      <c r="I59" s="49"/>
      <c r="J59" s="49"/>
    </row>
    <row r="60" spans="1:10" s="9" customFormat="1">
      <c r="A60" s="13"/>
      <c r="F60" s="49"/>
      <c r="G60" s="49"/>
      <c r="H60" s="49"/>
      <c r="I60" s="49"/>
      <c r="J60" s="49"/>
    </row>
    <row r="61" spans="1:10" s="9" customFormat="1">
      <c r="A61" s="13"/>
      <c r="F61" s="49"/>
      <c r="G61" s="49"/>
      <c r="H61" s="49"/>
      <c r="I61" s="49"/>
      <c r="J61" s="49"/>
    </row>
    <row r="62" spans="1:10" s="9" customFormat="1">
      <c r="A62" s="13"/>
      <c r="F62" s="49"/>
      <c r="G62" s="49"/>
      <c r="H62" s="49"/>
      <c r="I62" s="49"/>
      <c r="J62" s="49"/>
    </row>
    <row r="63" spans="1:10" s="9" customFormat="1">
      <c r="A63" s="13"/>
      <c r="F63" s="49"/>
      <c r="G63" s="49"/>
      <c r="H63" s="49"/>
      <c r="I63" s="49"/>
      <c r="J63" s="49"/>
    </row>
    <row r="64" spans="1:10" s="9" customFormat="1">
      <c r="A64" s="13"/>
      <c r="F64" s="49"/>
      <c r="G64" s="49"/>
      <c r="H64" s="49"/>
      <c r="I64" s="49"/>
      <c r="J64" s="49"/>
    </row>
    <row r="65" spans="1:10" s="9" customFormat="1">
      <c r="A65" s="13"/>
      <c r="F65" s="49"/>
      <c r="G65" s="49"/>
      <c r="H65" s="49"/>
      <c r="I65" s="49"/>
      <c r="J65" s="49"/>
    </row>
    <row r="66" spans="1:10" s="9" customFormat="1">
      <c r="A66" s="13"/>
      <c r="F66" s="49"/>
      <c r="G66" s="49"/>
      <c r="H66" s="49"/>
      <c r="I66" s="49"/>
      <c r="J66" s="49"/>
    </row>
    <row r="67" spans="1:10" s="9" customFormat="1">
      <c r="A67" s="13"/>
      <c r="F67" s="49"/>
      <c r="G67" s="49"/>
      <c r="H67" s="49"/>
      <c r="I67" s="49"/>
      <c r="J67" s="49"/>
    </row>
    <row r="68" spans="1:10" s="9" customFormat="1">
      <c r="A68" s="13"/>
      <c r="F68" s="49"/>
      <c r="G68" s="49"/>
      <c r="H68" s="49"/>
      <c r="I68" s="49"/>
      <c r="J68" s="49"/>
    </row>
    <row r="69" spans="1:10" s="9" customFormat="1">
      <c r="A69" s="13"/>
      <c r="F69" s="49"/>
      <c r="G69" s="49"/>
      <c r="H69" s="49"/>
      <c r="I69" s="49"/>
      <c r="J69" s="49"/>
    </row>
    <row r="70" spans="1:10" s="9" customFormat="1">
      <c r="A70" s="13"/>
      <c r="F70" s="49"/>
      <c r="G70" s="49"/>
      <c r="H70" s="49"/>
      <c r="I70" s="49"/>
      <c r="J70" s="49"/>
    </row>
    <row r="71" spans="1:10" s="9" customFormat="1">
      <c r="A71" s="13"/>
      <c r="F71" s="49"/>
      <c r="G71" s="49"/>
      <c r="H71" s="49"/>
      <c r="I71" s="49"/>
      <c r="J71" s="49"/>
    </row>
    <row r="72" spans="1:10" s="9" customFormat="1">
      <c r="A72" s="13"/>
      <c r="F72" s="49"/>
      <c r="G72" s="49"/>
      <c r="H72" s="49"/>
      <c r="I72" s="49"/>
      <c r="J72" s="49"/>
    </row>
    <row r="73" spans="1:10" s="9" customFormat="1">
      <c r="A73" s="13"/>
      <c r="F73" s="49"/>
      <c r="G73" s="49"/>
      <c r="H73" s="49"/>
      <c r="I73" s="49"/>
      <c r="J73" s="49"/>
    </row>
    <row r="74" spans="1:10" s="9" customFormat="1">
      <c r="A74" s="13"/>
      <c r="F74" s="49"/>
      <c r="G74" s="49"/>
      <c r="H74" s="49"/>
      <c r="I74" s="49"/>
      <c r="J74" s="49"/>
    </row>
    <row r="75" spans="1:10" s="9" customFormat="1">
      <c r="A75" s="13"/>
      <c r="F75" s="49"/>
      <c r="G75" s="49"/>
      <c r="H75" s="49"/>
      <c r="I75" s="49"/>
      <c r="J75" s="49"/>
    </row>
    <row r="76" spans="1:10" s="9" customFormat="1">
      <c r="A76" s="13"/>
      <c r="F76" s="49"/>
      <c r="G76" s="49"/>
      <c r="H76" s="49"/>
      <c r="I76" s="49"/>
      <c r="J76" s="49"/>
    </row>
    <row r="77" spans="1:10" s="9" customFormat="1">
      <c r="A77" s="13"/>
      <c r="F77" s="49"/>
      <c r="G77" s="49"/>
      <c r="H77" s="49"/>
      <c r="I77" s="49"/>
      <c r="J77" s="49"/>
    </row>
    <row r="78" spans="1:10" s="9" customFormat="1">
      <c r="A78" s="13"/>
      <c r="F78" s="49"/>
      <c r="G78" s="49"/>
      <c r="H78" s="49"/>
      <c r="I78" s="49"/>
      <c r="J78" s="49"/>
    </row>
    <row r="79" spans="1:10" s="9" customFormat="1">
      <c r="A79" s="13"/>
      <c r="F79" s="49"/>
      <c r="G79" s="49"/>
      <c r="H79" s="49"/>
      <c r="I79" s="49"/>
      <c r="J79" s="49"/>
    </row>
    <row r="80" spans="1:10" s="9" customFormat="1">
      <c r="A80" s="13"/>
      <c r="F80" s="49"/>
      <c r="G80" s="49"/>
      <c r="H80" s="49"/>
      <c r="I80" s="49"/>
      <c r="J80" s="49"/>
    </row>
    <row r="81" spans="1:10" s="9" customFormat="1">
      <c r="A81" s="13"/>
      <c r="F81" s="49"/>
      <c r="G81" s="49"/>
      <c r="H81" s="49"/>
      <c r="I81" s="49"/>
      <c r="J81" s="49"/>
    </row>
    <row r="82" spans="1:10" s="9" customFormat="1">
      <c r="A82" s="13"/>
      <c r="F82" s="49"/>
      <c r="G82" s="49"/>
      <c r="H82" s="49"/>
      <c r="I82" s="49"/>
      <c r="J82" s="49"/>
    </row>
    <row r="83" spans="1:10" s="9" customFormat="1">
      <c r="A83" s="13"/>
      <c r="F83" s="49"/>
      <c r="G83" s="49"/>
      <c r="H83" s="49"/>
      <c r="I83" s="49"/>
      <c r="J83" s="49"/>
    </row>
    <row r="84" spans="1:10" s="9" customFormat="1">
      <c r="A84" s="13"/>
      <c r="F84" s="49"/>
      <c r="G84" s="49"/>
      <c r="H84" s="49"/>
      <c r="I84" s="49"/>
      <c r="J84" s="49"/>
    </row>
    <row r="85" spans="1:10" s="9" customFormat="1">
      <c r="A85" s="13"/>
      <c r="F85" s="49"/>
      <c r="G85" s="49"/>
      <c r="H85" s="49"/>
      <c r="I85" s="49"/>
      <c r="J85" s="49"/>
    </row>
    <row r="86" spans="1:10" s="9" customFormat="1">
      <c r="A86" s="13"/>
      <c r="F86" s="49"/>
      <c r="G86" s="49"/>
      <c r="H86" s="49"/>
      <c r="I86" s="49"/>
      <c r="J86" s="49"/>
    </row>
    <row r="87" spans="1:10" s="9" customFormat="1">
      <c r="A87" s="13"/>
      <c r="F87" s="49"/>
      <c r="G87" s="49"/>
      <c r="H87" s="49"/>
      <c r="I87" s="49"/>
      <c r="J87" s="49"/>
    </row>
    <row r="88" spans="1:10" s="9" customFormat="1">
      <c r="A88" s="13"/>
      <c r="F88" s="49"/>
      <c r="G88" s="49"/>
      <c r="H88" s="49"/>
      <c r="I88" s="49"/>
      <c r="J88" s="49"/>
    </row>
    <row r="89" spans="1:10" s="9" customFormat="1">
      <c r="A89" s="13"/>
      <c r="F89" s="49"/>
      <c r="G89" s="49"/>
      <c r="H89" s="49"/>
      <c r="I89" s="49"/>
      <c r="J89" s="49"/>
    </row>
    <row r="90" spans="1:10" s="9" customFormat="1">
      <c r="A90" s="13"/>
      <c r="F90" s="49"/>
      <c r="G90" s="49"/>
      <c r="H90" s="49"/>
      <c r="I90" s="49"/>
      <c r="J90" s="49"/>
    </row>
    <row r="91" spans="1:10" s="9" customFormat="1">
      <c r="A91" s="13"/>
      <c r="F91" s="49"/>
      <c r="G91" s="49"/>
      <c r="H91" s="49"/>
      <c r="I91" s="49"/>
      <c r="J91" s="49"/>
    </row>
    <row r="92" spans="1:10" s="9" customFormat="1">
      <c r="A92" s="13"/>
      <c r="F92" s="49"/>
      <c r="G92" s="49"/>
      <c r="H92" s="49"/>
      <c r="I92" s="49"/>
      <c r="J92" s="49"/>
    </row>
    <row r="93" spans="1:10" s="9" customFormat="1">
      <c r="A93" s="13"/>
      <c r="F93" s="49"/>
      <c r="G93" s="49"/>
      <c r="H93" s="49"/>
      <c r="I93" s="49"/>
      <c r="J93" s="49"/>
    </row>
    <row r="94" spans="1:10" s="9" customFormat="1">
      <c r="A94" s="13"/>
      <c r="F94" s="49"/>
      <c r="G94" s="49"/>
      <c r="H94" s="49"/>
      <c r="I94" s="49"/>
      <c r="J94" s="49"/>
    </row>
    <row r="95" spans="1:10" s="9" customFormat="1">
      <c r="A95" s="13"/>
      <c r="F95" s="49"/>
      <c r="G95" s="49"/>
      <c r="H95" s="49"/>
      <c r="I95" s="49"/>
      <c r="J95" s="49"/>
    </row>
    <row r="96" spans="1:10" s="9" customFormat="1">
      <c r="A96" s="13"/>
      <c r="F96" s="49"/>
      <c r="G96" s="49"/>
      <c r="H96" s="49"/>
      <c r="I96" s="49"/>
      <c r="J96" s="49"/>
    </row>
    <row r="97" spans="1:10" s="9" customFormat="1">
      <c r="A97" s="13"/>
      <c r="F97" s="49"/>
      <c r="G97" s="49"/>
      <c r="H97" s="49"/>
      <c r="I97" s="49"/>
      <c r="J97" s="49"/>
    </row>
    <row r="98" spans="1:10" s="9" customFormat="1">
      <c r="A98" s="13"/>
      <c r="F98" s="49"/>
      <c r="G98" s="49"/>
      <c r="H98" s="49"/>
      <c r="I98" s="49"/>
      <c r="J98" s="49"/>
    </row>
    <row r="99" spans="1:10" s="9" customFormat="1">
      <c r="A99" s="13"/>
      <c r="F99" s="49"/>
      <c r="G99" s="49"/>
      <c r="H99" s="49"/>
      <c r="I99" s="49"/>
      <c r="J99" s="49"/>
    </row>
    <row r="100" spans="1:10" s="9" customFormat="1">
      <c r="A100" s="13"/>
      <c r="F100" s="49"/>
      <c r="G100" s="49"/>
      <c r="H100" s="49"/>
      <c r="I100" s="49"/>
      <c r="J100" s="49"/>
    </row>
    <row r="101" spans="1:10" s="9" customFormat="1">
      <c r="A101" s="13"/>
      <c r="F101" s="49"/>
      <c r="G101" s="49"/>
      <c r="H101" s="49"/>
      <c r="I101" s="49"/>
      <c r="J101" s="49"/>
    </row>
    <row r="102" spans="1:10" s="9" customFormat="1">
      <c r="A102" s="13"/>
      <c r="F102" s="49"/>
      <c r="G102" s="49"/>
      <c r="H102" s="49"/>
      <c r="I102" s="49"/>
      <c r="J102" s="49"/>
    </row>
    <row r="103" spans="1:10" s="9" customFormat="1">
      <c r="A103" s="13"/>
      <c r="F103" s="49"/>
      <c r="G103" s="49"/>
      <c r="H103" s="49"/>
      <c r="I103" s="49"/>
      <c r="J103" s="49"/>
    </row>
    <row r="104" spans="1:10" s="9" customFormat="1">
      <c r="A104" s="13"/>
      <c r="F104" s="49"/>
      <c r="G104" s="49"/>
      <c r="H104" s="49"/>
      <c r="I104" s="49"/>
      <c r="J104" s="49"/>
    </row>
    <row r="105" spans="1:10" s="9" customFormat="1">
      <c r="A105" s="13"/>
      <c r="F105" s="49"/>
      <c r="G105" s="49"/>
      <c r="H105" s="49"/>
      <c r="I105" s="49"/>
      <c r="J105" s="49"/>
    </row>
    <row r="106" spans="1:10" s="9" customFormat="1">
      <c r="A106" s="13"/>
      <c r="F106" s="49"/>
      <c r="G106" s="49"/>
      <c r="H106" s="49"/>
      <c r="I106" s="49"/>
      <c r="J106" s="49"/>
    </row>
    <row r="107" spans="1:10" s="9" customFormat="1">
      <c r="A107" s="13"/>
      <c r="F107" s="49"/>
      <c r="G107" s="49"/>
      <c r="H107" s="49"/>
      <c r="I107" s="49"/>
      <c r="J107" s="49"/>
    </row>
    <row r="108" spans="1:10" s="9" customFormat="1">
      <c r="A108" s="13"/>
      <c r="F108" s="49"/>
      <c r="G108" s="49"/>
      <c r="H108" s="49"/>
      <c r="I108" s="49"/>
      <c r="J108" s="49"/>
    </row>
    <row r="109" spans="1:10" s="9" customFormat="1">
      <c r="A109" s="13"/>
      <c r="F109" s="49"/>
      <c r="G109" s="49"/>
      <c r="H109" s="49"/>
      <c r="I109" s="49"/>
      <c r="J109" s="49"/>
    </row>
    <row r="110" spans="1:10" s="9" customFormat="1">
      <c r="A110" s="13"/>
      <c r="F110" s="49"/>
      <c r="G110" s="49"/>
      <c r="H110" s="49"/>
      <c r="I110" s="49"/>
      <c r="J110" s="49"/>
    </row>
    <row r="111" spans="1:10" s="9" customFormat="1">
      <c r="A111" s="13"/>
      <c r="F111" s="49"/>
      <c r="G111" s="49"/>
      <c r="H111" s="49"/>
      <c r="I111" s="49"/>
      <c r="J111" s="49"/>
    </row>
    <row r="112" spans="1:10" s="9" customFormat="1">
      <c r="A112" s="13"/>
      <c r="F112" s="49"/>
      <c r="G112" s="49"/>
      <c r="H112" s="49"/>
      <c r="I112" s="49"/>
      <c r="J112" s="49"/>
    </row>
    <row r="113" spans="1:10" s="9" customFormat="1">
      <c r="A113" s="13"/>
      <c r="F113" s="49"/>
      <c r="G113" s="49"/>
      <c r="H113" s="49"/>
      <c r="I113" s="49"/>
      <c r="J113" s="49"/>
    </row>
    <row r="114" spans="1:10" s="9" customFormat="1">
      <c r="A114" s="13"/>
      <c r="F114" s="49"/>
      <c r="G114" s="49"/>
      <c r="H114" s="49"/>
      <c r="I114" s="49"/>
      <c r="J114" s="49"/>
    </row>
    <row r="115" spans="1:10" s="9" customFormat="1">
      <c r="A115" s="13"/>
      <c r="F115" s="49"/>
      <c r="G115" s="49"/>
      <c r="H115" s="49"/>
      <c r="I115" s="49"/>
      <c r="J115" s="49"/>
    </row>
    <row r="116" spans="1:10" s="9" customFormat="1">
      <c r="A116" s="13"/>
      <c r="F116" s="49"/>
      <c r="G116" s="49"/>
      <c r="H116" s="49"/>
      <c r="I116" s="49"/>
      <c r="J116" s="49"/>
    </row>
    <row r="117" spans="1:10" s="9" customFormat="1">
      <c r="A117" s="13"/>
      <c r="F117" s="49"/>
      <c r="G117" s="49"/>
      <c r="H117" s="49"/>
      <c r="I117" s="49"/>
      <c r="J117" s="49"/>
    </row>
    <row r="118" spans="1:10" s="9" customFormat="1">
      <c r="A118" s="13"/>
      <c r="F118" s="49"/>
      <c r="G118" s="49"/>
      <c r="H118" s="49"/>
      <c r="I118" s="49"/>
      <c r="J118" s="49"/>
    </row>
    <row r="119" spans="1:10" s="9" customFormat="1">
      <c r="A119" s="13"/>
      <c r="F119" s="49"/>
      <c r="G119" s="49"/>
      <c r="H119" s="49"/>
      <c r="I119" s="49"/>
      <c r="J119" s="49"/>
    </row>
    <row r="120" spans="1:10" s="9" customFormat="1">
      <c r="A120" s="13"/>
      <c r="F120" s="49"/>
      <c r="G120" s="49"/>
      <c r="H120" s="49"/>
      <c r="I120" s="49"/>
      <c r="J120" s="49"/>
    </row>
    <row r="121" spans="1:10" s="9" customFormat="1">
      <c r="A121" s="13"/>
      <c r="F121" s="49"/>
      <c r="G121" s="49"/>
      <c r="H121" s="49"/>
      <c r="I121" s="49"/>
      <c r="J121" s="49"/>
    </row>
    <row r="122" spans="1:10" s="9" customFormat="1">
      <c r="A122" s="13"/>
      <c r="F122" s="49"/>
      <c r="G122" s="49"/>
      <c r="H122" s="49"/>
      <c r="I122" s="49"/>
      <c r="J122" s="49"/>
    </row>
    <row r="123" spans="1:10" s="9" customFormat="1">
      <c r="A123" s="13"/>
      <c r="F123" s="49"/>
      <c r="G123" s="49"/>
      <c r="H123" s="49"/>
      <c r="I123" s="49"/>
      <c r="J123" s="49"/>
    </row>
    <row r="124" spans="1:10" s="9" customFormat="1">
      <c r="A124" s="13"/>
      <c r="F124" s="49"/>
      <c r="G124" s="49"/>
      <c r="H124" s="49"/>
      <c r="I124" s="49"/>
      <c r="J124" s="49"/>
    </row>
    <row r="125" spans="1:10" s="9" customFormat="1">
      <c r="A125" s="13"/>
      <c r="F125" s="49"/>
      <c r="G125" s="49"/>
      <c r="H125" s="49"/>
      <c r="I125" s="49"/>
      <c r="J125" s="49"/>
    </row>
    <row r="126" spans="1:10" s="9" customFormat="1">
      <c r="A126" s="13"/>
      <c r="F126" s="49"/>
      <c r="G126" s="49"/>
      <c r="H126" s="49"/>
      <c r="I126" s="49"/>
      <c r="J126" s="49"/>
    </row>
    <row r="127" spans="1:10" s="9" customFormat="1">
      <c r="A127" s="13"/>
      <c r="F127" s="49"/>
      <c r="G127" s="49"/>
      <c r="H127" s="49"/>
      <c r="I127" s="49"/>
      <c r="J127" s="49"/>
    </row>
    <row r="128" spans="1:10" s="9" customFormat="1">
      <c r="A128" s="13"/>
      <c r="F128" s="49"/>
      <c r="G128" s="49"/>
      <c r="H128" s="49"/>
      <c r="I128" s="49"/>
      <c r="J128" s="49"/>
    </row>
    <row r="129" spans="1:10" s="9" customFormat="1">
      <c r="A129" s="13"/>
      <c r="F129" s="49"/>
      <c r="G129" s="49"/>
      <c r="H129" s="49"/>
      <c r="I129" s="49"/>
      <c r="J129" s="49"/>
    </row>
    <row r="130" spans="1:10" s="9" customFormat="1">
      <c r="A130" s="13"/>
      <c r="F130" s="49"/>
      <c r="G130" s="49"/>
      <c r="H130" s="49"/>
      <c r="I130" s="49"/>
      <c r="J130" s="49"/>
    </row>
    <row r="131" spans="1:10" s="9" customFormat="1">
      <c r="A131" s="13"/>
      <c r="F131" s="49"/>
      <c r="G131" s="49"/>
      <c r="H131" s="49"/>
      <c r="I131" s="49"/>
      <c r="J131" s="49"/>
    </row>
    <row r="132" spans="1:10" s="9" customFormat="1">
      <c r="A132" s="13"/>
      <c r="F132" s="49"/>
      <c r="G132" s="49"/>
      <c r="H132" s="49"/>
      <c r="I132" s="49"/>
      <c r="J132" s="49"/>
    </row>
    <row r="133" spans="1:10" s="9" customFormat="1">
      <c r="A133" s="13"/>
      <c r="F133" s="49"/>
      <c r="G133" s="49"/>
      <c r="H133" s="49"/>
      <c r="I133" s="49"/>
      <c r="J133" s="49"/>
    </row>
    <row r="134" spans="1:10" s="9" customFormat="1">
      <c r="A134" s="13"/>
      <c r="F134" s="49"/>
      <c r="G134" s="49"/>
      <c r="H134" s="49"/>
      <c r="I134" s="49"/>
      <c r="J134" s="49"/>
    </row>
    <row r="135" spans="1:10" s="9" customFormat="1">
      <c r="A135" s="13"/>
      <c r="F135" s="49"/>
      <c r="G135" s="49"/>
      <c r="H135" s="49"/>
      <c r="I135" s="49"/>
      <c r="J135" s="49"/>
    </row>
    <row r="136" spans="1:10" s="9" customFormat="1">
      <c r="A136" s="13"/>
      <c r="F136" s="49"/>
      <c r="G136" s="49"/>
      <c r="H136" s="49"/>
      <c r="I136" s="49"/>
      <c r="J136" s="49"/>
    </row>
    <row r="137" spans="1:10" s="9" customFormat="1">
      <c r="A137" s="13"/>
      <c r="F137" s="49"/>
      <c r="G137" s="49"/>
      <c r="H137" s="49"/>
      <c r="I137" s="49"/>
      <c r="J137" s="49"/>
    </row>
    <row r="138" spans="1:10" s="9" customFormat="1">
      <c r="A138" s="13"/>
      <c r="F138" s="49"/>
      <c r="G138" s="49"/>
      <c r="H138" s="49"/>
      <c r="I138" s="49"/>
      <c r="J138" s="49"/>
    </row>
    <row r="139" spans="1:10" s="9" customFormat="1">
      <c r="A139" s="13"/>
      <c r="F139" s="49"/>
      <c r="G139" s="49"/>
      <c r="H139" s="49"/>
      <c r="I139" s="49"/>
      <c r="J139" s="49"/>
    </row>
    <row r="140" spans="1:10" s="9" customFormat="1">
      <c r="A140" s="13"/>
      <c r="F140" s="49"/>
      <c r="G140" s="49"/>
      <c r="H140" s="49"/>
      <c r="I140" s="49"/>
      <c r="J140" s="49"/>
    </row>
    <row r="141" spans="1:10" s="9" customFormat="1">
      <c r="A141" s="13"/>
      <c r="F141" s="49"/>
      <c r="G141" s="49"/>
      <c r="H141" s="49"/>
      <c r="I141" s="49"/>
      <c r="J141" s="49"/>
    </row>
    <row r="142" spans="1:10" s="9" customFormat="1">
      <c r="A142" s="13"/>
      <c r="F142" s="49"/>
      <c r="G142" s="49"/>
      <c r="H142" s="49"/>
      <c r="I142" s="49"/>
      <c r="J142" s="49"/>
    </row>
    <row r="143" spans="1:10" s="9" customFormat="1">
      <c r="A143" s="13"/>
      <c r="F143" s="49"/>
      <c r="G143" s="49"/>
      <c r="H143" s="49"/>
      <c r="I143" s="49"/>
      <c r="J143" s="49"/>
    </row>
    <row r="144" spans="1:10" s="9" customFormat="1">
      <c r="A144" s="13"/>
      <c r="F144" s="49"/>
      <c r="G144" s="49"/>
      <c r="H144" s="49"/>
      <c r="I144" s="49"/>
      <c r="J144" s="49"/>
    </row>
    <row r="145" spans="1:10" s="9" customFormat="1">
      <c r="A145" s="13"/>
      <c r="F145" s="49"/>
      <c r="G145" s="49"/>
      <c r="H145" s="49"/>
      <c r="I145" s="49"/>
      <c r="J145" s="49"/>
    </row>
    <row r="146" spans="1:10" s="9" customFormat="1">
      <c r="A146" s="13"/>
      <c r="F146" s="49"/>
      <c r="G146" s="49"/>
      <c r="H146" s="49"/>
      <c r="I146" s="49"/>
      <c r="J146" s="49"/>
    </row>
    <row r="147" spans="1:10" s="9" customFormat="1">
      <c r="A147" s="13"/>
      <c r="F147" s="49"/>
      <c r="G147" s="49"/>
      <c r="H147" s="49"/>
      <c r="I147" s="49"/>
      <c r="J147" s="49"/>
    </row>
    <row r="148" spans="1:10" s="9" customFormat="1">
      <c r="A148" s="13"/>
      <c r="F148" s="49"/>
      <c r="G148" s="49"/>
      <c r="H148" s="49"/>
      <c r="I148" s="49"/>
      <c r="J148" s="49"/>
    </row>
    <row r="149" spans="1:10" s="9" customFormat="1">
      <c r="A149" s="13"/>
      <c r="F149" s="49"/>
      <c r="G149" s="49"/>
      <c r="H149" s="49"/>
      <c r="I149" s="49"/>
      <c r="J149" s="49"/>
    </row>
    <row r="150" spans="1:10" s="9" customFormat="1">
      <c r="A150" s="13"/>
      <c r="F150" s="49"/>
      <c r="G150" s="49"/>
      <c r="H150" s="49"/>
      <c r="I150" s="49"/>
      <c r="J150" s="49"/>
    </row>
    <row r="151" spans="1:10" s="9" customFormat="1">
      <c r="A151" s="13"/>
      <c r="F151" s="49"/>
      <c r="G151" s="49"/>
      <c r="H151" s="49"/>
      <c r="I151" s="49"/>
      <c r="J151" s="49"/>
    </row>
    <row r="152" spans="1:10" s="9" customFormat="1">
      <c r="A152" s="13"/>
      <c r="F152" s="49"/>
      <c r="G152" s="49"/>
      <c r="H152" s="49"/>
      <c r="I152" s="49"/>
      <c r="J152" s="49"/>
    </row>
    <row r="153" spans="1:10" s="9" customFormat="1">
      <c r="A153" s="13"/>
      <c r="F153" s="49"/>
      <c r="G153" s="49"/>
      <c r="H153" s="49"/>
      <c r="I153" s="49"/>
      <c r="J153" s="49"/>
    </row>
    <row r="154" spans="1:10" s="9" customFormat="1">
      <c r="A154" s="13"/>
      <c r="F154" s="49"/>
      <c r="G154" s="49"/>
      <c r="H154" s="49"/>
      <c r="I154" s="49"/>
      <c r="J154" s="49"/>
    </row>
    <row r="155" spans="1:10" s="9" customFormat="1">
      <c r="A155" s="13"/>
      <c r="F155" s="49"/>
      <c r="G155" s="49"/>
      <c r="H155" s="49"/>
      <c r="I155" s="49"/>
      <c r="J155" s="49"/>
    </row>
    <row r="156" spans="1:10" s="9" customFormat="1">
      <c r="A156" s="13"/>
      <c r="F156" s="49"/>
      <c r="G156" s="49"/>
      <c r="H156" s="49"/>
      <c r="I156" s="49"/>
      <c r="J156" s="49"/>
    </row>
    <row r="157" spans="1:10" s="9" customFormat="1">
      <c r="A157" s="13"/>
      <c r="F157" s="49"/>
      <c r="G157" s="49"/>
      <c r="H157" s="49"/>
      <c r="I157" s="49"/>
      <c r="J157" s="49"/>
    </row>
    <row r="158" spans="1:10" s="9" customFormat="1">
      <c r="A158" s="13"/>
      <c r="F158" s="49"/>
      <c r="G158" s="49"/>
      <c r="H158" s="49"/>
      <c r="I158" s="49"/>
      <c r="J158" s="49"/>
    </row>
    <row r="159" spans="1:10" s="9" customFormat="1">
      <c r="A159" s="13"/>
      <c r="F159" s="49"/>
      <c r="G159" s="49"/>
      <c r="H159" s="49"/>
      <c r="I159" s="49"/>
      <c r="J159" s="49"/>
    </row>
    <row r="160" spans="1:10" s="9" customFormat="1">
      <c r="A160" s="13"/>
      <c r="F160" s="49"/>
      <c r="G160" s="49"/>
      <c r="H160" s="49"/>
      <c r="I160" s="49"/>
      <c r="J160" s="49"/>
    </row>
    <row r="161" spans="1:10" s="9" customFormat="1">
      <c r="A161" s="13"/>
      <c r="F161" s="49"/>
      <c r="G161" s="49"/>
      <c r="H161" s="49"/>
      <c r="I161" s="49"/>
      <c r="J161" s="49"/>
    </row>
    <row r="162" spans="1:10" s="9" customFormat="1">
      <c r="A162" s="13"/>
      <c r="F162" s="49"/>
      <c r="G162" s="49"/>
      <c r="H162" s="49"/>
      <c r="I162" s="49"/>
      <c r="J162" s="49"/>
    </row>
    <row r="163" spans="1:10" s="9" customFormat="1">
      <c r="A163" s="13"/>
      <c r="F163" s="49"/>
      <c r="G163" s="49"/>
      <c r="H163" s="49"/>
      <c r="I163" s="49"/>
      <c r="J163" s="49"/>
    </row>
    <row r="164" spans="1:10" s="9" customFormat="1">
      <c r="A164" s="13"/>
      <c r="F164" s="49"/>
      <c r="G164" s="49"/>
      <c r="H164" s="49"/>
      <c r="I164" s="49"/>
      <c r="J164" s="49"/>
    </row>
    <row r="165" spans="1:10" s="9" customFormat="1">
      <c r="A165" s="13"/>
      <c r="F165" s="49"/>
      <c r="G165" s="49"/>
      <c r="H165" s="49"/>
      <c r="I165" s="49"/>
      <c r="J165" s="49"/>
    </row>
    <row r="166" spans="1:10" s="9" customFormat="1">
      <c r="A166" s="13"/>
      <c r="F166" s="49"/>
      <c r="G166" s="49"/>
      <c r="H166" s="49"/>
      <c r="I166" s="49"/>
      <c r="J166" s="49"/>
    </row>
    <row r="167" spans="1:10" s="9" customFormat="1">
      <c r="A167" s="13"/>
      <c r="F167" s="49"/>
      <c r="G167" s="49"/>
      <c r="H167" s="49"/>
      <c r="I167" s="49"/>
      <c r="J167" s="49"/>
    </row>
    <row r="168" spans="1:10" s="9" customFormat="1">
      <c r="A168" s="13"/>
      <c r="F168" s="49"/>
      <c r="G168" s="49"/>
      <c r="H168" s="49"/>
      <c r="I168" s="49"/>
      <c r="J168" s="49"/>
    </row>
    <row r="169" spans="1:10" s="9" customFormat="1">
      <c r="A169" s="13"/>
      <c r="F169" s="49"/>
      <c r="G169" s="49"/>
      <c r="H169" s="49"/>
      <c r="I169" s="49"/>
      <c r="J169" s="49"/>
    </row>
    <row r="170" spans="1:10" s="9" customFormat="1">
      <c r="A170" s="13"/>
      <c r="F170" s="49"/>
      <c r="G170" s="49"/>
      <c r="H170" s="49"/>
      <c r="I170" s="49"/>
      <c r="J170" s="49"/>
    </row>
    <row r="171" spans="1:10" s="9" customFormat="1">
      <c r="A171" s="13"/>
      <c r="F171" s="49"/>
      <c r="G171" s="49"/>
      <c r="H171" s="49"/>
      <c r="I171" s="49"/>
      <c r="J171" s="49"/>
    </row>
    <row r="172" spans="1:10" s="9" customFormat="1">
      <c r="A172" s="13"/>
      <c r="F172" s="49"/>
      <c r="G172" s="49"/>
      <c r="H172" s="49"/>
      <c r="I172" s="49"/>
      <c r="J172" s="49"/>
    </row>
    <row r="173" spans="1:10" s="9" customFormat="1">
      <c r="A173" s="13"/>
      <c r="F173" s="49"/>
      <c r="G173" s="49"/>
      <c r="H173" s="49"/>
      <c r="I173" s="49"/>
      <c r="J173" s="49"/>
    </row>
    <row r="174" spans="1:10" s="9" customFormat="1">
      <c r="A174" s="13"/>
      <c r="F174" s="49"/>
      <c r="G174" s="49"/>
      <c r="H174" s="49"/>
      <c r="I174" s="49"/>
      <c r="J174" s="49"/>
    </row>
    <row r="175" spans="1:10" s="9" customFormat="1">
      <c r="A175" s="13"/>
      <c r="F175" s="49"/>
      <c r="G175" s="49"/>
      <c r="H175" s="49"/>
      <c r="I175" s="49"/>
      <c r="J175" s="49"/>
    </row>
    <row r="176" spans="1:10" s="9" customFormat="1">
      <c r="A176" s="13"/>
      <c r="F176" s="49"/>
      <c r="G176" s="49"/>
      <c r="H176" s="49"/>
      <c r="I176" s="49"/>
      <c r="J176" s="49"/>
    </row>
    <row r="177" spans="1:10" s="9" customFormat="1">
      <c r="A177" s="13"/>
      <c r="F177" s="49"/>
      <c r="G177" s="49"/>
      <c r="H177" s="49"/>
      <c r="I177" s="49"/>
      <c r="J177" s="49"/>
    </row>
    <row r="178" spans="1:10" s="9" customFormat="1">
      <c r="A178" s="13"/>
      <c r="F178" s="49"/>
      <c r="G178" s="49"/>
      <c r="H178" s="49"/>
      <c r="I178" s="49"/>
      <c r="J178" s="49"/>
    </row>
    <row r="179" spans="1:10" s="9" customFormat="1">
      <c r="A179" s="13"/>
      <c r="F179" s="49"/>
      <c r="G179" s="49"/>
      <c r="H179" s="49"/>
      <c r="I179" s="49"/>
      <c r="J179" s="49"/>
    </row>
    <row r="180" spans="1:10" s="9" customFormat="1">
      <c r="A180" s="13"/>
      <c r="F180" s="49"/>
      <c r="G180" s="49"/>
      <c r="H180" s="49"/>
      <c r="I180" s="49"/>
      <c r="J180" s="49"/>
    </row>
    <row r="181" spans="1:10" s="9" customFormat="1">
      <c r="A181" s="13"/>
      <c r="F181" s="49"/>
      <c r="G181" s="49"/>
      <c r="H181" s="49"/>
      <c r="I181" s="49"/>
      <c r="J181" s="49"/>
    </row>
    <row r="182" spans="1:10" s="9" customFormat="1">
      <c r="A182" s="13"/>
      <c r="F182" s="49"/>
      <c r="G182" s="49"/>
      <c r="H182" s="49"/>
      <c r="I182" s="49"/>
      <c r="J182" s="49"/>
    </row>
    <row r="183" spans="1:10" s="9" customFormat="1">
      <c r="A183" s="13"/>
      <c r="F183" s="49"/>
      <c r="G183" s="49"/>
      <c r="H183" s="49"/>
      <c r="I183" s="49"/>
      <c r="J183" s="49"/>
    </row>
    <row r="184" spans="1:10" s="9" customFormat="1">
      <c r="A184" s="13"/>
      <c r="F184" s="49"/>
      <c r="G184" s="49"/>
      <c r="H184" s="49"/>
      <c r="I184" s="49"/>
      <c r="J184" s="49"/>
    </row>
    <row r="185" spans="1:10" s="9" customFormat="1">
      <c r="A185" s="13"/>
      <c r="F185" s="49"/>
      <c r="G185" s="49"/>
      <c r="H185" s="49"/>
      <c r="I185" s="49"/>
      <c r="J185" s="49"/>
    </row>
    <row r="186" spans="1:10" s="9" customFormat="1">
      <c r="A186" s="13"/>
      <c r="F186" s="49"/>
      <c r="G186" s="49"/>
      <c r="H186" s="49"/>
      <c r="I186" s="49"/>
      <c r="J186" s="49"/>
    </row>
    <row r="187" spans="1:10" s="9" customFormat="1">
      <c r="A187" s="13"/>
      <c r="F187" s="49"/>
      <c r="G187" s="49"/>
      <c r="H187" s="49"/>
      <c r="I187" s="49"/>
      <c r="J187" s="49"/>
    </row>
    <row r="188" spans="1:10" s="9" customFormat="1">
      <c r="A188" s="13"/>
      <c r="F188" s="49"/>
      <c r="G188" s="49"/>
      <c r="H188" s="49"/>
      <c r="I188" s="49"/>
      <c r="J188" s="49"/>
    </row>
    <row r="189" spans="1:10" s="9" customFormat="1">
      <c r="A189" s="13"/>
      <c r="F189" s="49"/>
      <c r="G189" s="49"/>
      <c r="H189" s="49"/>
      <c r="I189" s="49"/>
      <c r="J189" s="49"/>
    </row>
    <row r="190" spans="1:10" s="9" customFormat="1">
      <c r="A190" s="13"/>
      <c r="F190" s="49"/>
      <c r="G190" s="49"/>
      <c r="H190" s="49"/>
      <c r="I190" s="49"/>
      <c r="J190" s="49"/>
    </row>
    <row r="191" spans="1:10" s="9" customFormat="1">
      <c r="A191" s="13"/>
      <c r="F191" s="49"/>
      <c r="G191" s="49"/>
      <c r="H191" s="49"/>
      <c r="I191" s="49"/>
      <c r="J191" s="49"/>
    </row>
    <row r="192" spans="1:10" s="9" customFormat="1">
      <c r="A192" s="13"/>
      <c r="F192" s="49"/>
      <c r="G192" s="49"/>
      <c r="H192" s="49"/>
      <c r="I192" s="49"/>
      <c r="J192" s="49"/>
    </row>
    <row r="193" spans="1:10" s="9" customFormat="1">
      <c r="A193" s="13"/>
      <c r="F193" s="49"/>
      <c r="G193" s="49"/>
      <c r="H193" s="49"/>
      <c r="I193" s="49"/>
      <c r="J193" s="49"/>
    </row>
    <row r="194" spans="1:10" s="9" customFormat="1">
      <c r="A194" s="13"/>
      <c r="F194" s="49"/>
      <c r="G194" s="49"/>
      <c r="H194" s="49"/>
      <c r="I194" s="49"/>
      <c r="J194" s="49"/>
    </row>
    <row r="195" spans="1:10" s="9" customFormat="1">
      <c r="A195" s="13"/>
      <c r="F195" s="49"/>
      <c r="G195" s="49"/>
      <c r="H195" s="49"/>
      <c r="I195" s="49"/>
      <c r="J195" s="49"/>
    </row>
    <row r="196" spans="1:10" s="9" customFormat="1">
      <c r="A196" s="13"/>
      <c r="F196" s="49"/>
      <c r="G196" s="49"/>
      <c r="H196" s="49"/>
      <c r="I196" s="49"/>
      <c r="J196" s="49"/>
    </row>
    <row r="197" spans="1:10" s="9" customFormat="1">
      <c r="A197" s="13"/>
      <c r="F197" s="49"/>
      <c r="G197" s="49"/>
      <c r="H197" s="49"/>
      <c r="I197" s="49"/>
      <c r="J197" s="49"/>
    </row>
    <row r="198" spans="1:10" s="9" customFormat="1">
      <c r="A198" s="13"/>
      <c r="F198" s="49"/>
      <c r="G198" s="49"/>
      <c r="H198" s="49"/>
      <c r="I198" s="49"/>
      <c r="J198" s="49"/>
    </row>
    <row r="199" spans="1:10" s="9" customFormat="1">
      <c r="A199" s="13"/>
      <c r="F199" s="49"/>
      <c r="G199" s="49"/>
      <c r="H199" s="49"/>
      <c r="I199" s="49"/>
      <c r="J199" s="49"/>
    </row>
    <row r="200" spans="1:10" s="9" customFormat="1">
      <c r="A200" s="13"/>
      <c r="F200" s="49"/>
      <c r="G200" s="49"/>
      <c r="H200" s="49"/>
      <c r="I200" s="49"/>
      <c r="J200" s="49"/>
    </row>
    <row r="201" spans="1:10" s="9" customFormat="1">
      <c r="A201" s="13"/>
      <c r="F201" s="49"/>
      <c r="G201" s="49"/>
      <c r="H201" s="49"/>
      <c r="I201" s="49"/>
      <c r="J201" s="49"/>
    </row>
    <row r="202" spans="1:10" s="9" customFormat="1">
      <c r="A202" s="13"/>
      <c r="F202" s="49"/>
      <c r="G202" s="49"/>
      <c r="H202" s="49"/>
      <c r="I202" s="49"/>
      <c r="J202" s="49"/>
    </row>
    <row r="203" spans="1:10" s="9" customFormat="1">
      <c r="A203" s="13"/>
      <c r="F203" s="49"/>
      <c r="G203" s="49"/>
      <c r="H203" s="49"/>
      <c r="I203" s="49"/>
      <c r="J203" s="49"/>
    </row>
    <row r="204" spans="1:10" s="9" customFormat="1">
      <c r="A204" s="13"/>
      <c r="F204" s="49"/>
      <c r="G204" s="49"/>
      <c r="H204" s="49"/>
      <c r="I204" s="49"/>
      <c r="J204" s="49"/>
    </row>
    <row r="205" spans="1:10" s="9" customFormat="1">
      <c r="A205" s="13"/>
      <c r="F205" s="49"/>
      <c r="G205" s="49"/>
      <c r="H205" s="49"/>
      <c r="I205" s="49"/>
      <c r="J205" s="49"/>
    </row>
    <row r="206" spans="1:10" s="9" customFormat="1">
      <c r="A206" s="13"/>
      <c r="F206" s="49"/>
      <c r="G206" s="49"/>
      <c r="H206" s="49"/>
      <c r="I206" s="49"/>
      <c r="J206" s="49"/>
    </row>
    <row r="207" spans="1:10" s="9" customFormat="1">
      <c r="A207" s="13"/>
      <c r="F207" s="49"/>
      <c r="G207" s="49"/>
      <c r="H207" s="49"/>
      <c r="I207" s="49"/>
      <c r="J207" s="49"/>
    </row>
    <row r="208" spans="1:10" s="9" customFormat="1">
      <c r="A208" s="13"/>
      <c r="F208" s="49"/>
      <c r="G208" s="49"/>
      <c r="H208" s="49"/>
      <c r="I208" s="49"/>
      <c r="J208" s="49"/>
    </row>
    <row r="209" spans="1:10" s="9" customFormat="1">
      <c r="A209" s="13"/>
      <c r="F209" s="49"/>
      <c r="G209" s="49"/>
      <c r="H209" s="49"/>
      <c r="I209" s="49"/>
      <c r="J209" s="49"/>
    </row>
    <row r="210" spans="1:10" s="9" customFormat="1">
      <c r="A210" s="13"/>
      <c r="F210" s="49"/>
      <c r="G210" s="49"/>
      <c r="H210" s="49"/>
      <c r="I210" s="49"/>
      <c r="J210" s="49"/>
    </row>
    <row r="211" spans="1:10" s="9" customFormat="1">
      <c r="A211" s="13"/>
      <c r="F211" s="49"/>
      <c r="G211" s="49"/>
      <c r="H211" s="49"/>
      <c r="I211" s="49"/>
      <c r="J211" s="49"/>
    </row>
    <row r="212" spans="1:10" s="9" customFormat="1">
      <c r="A212" s="13"/>
      <c r="F212" s="49"/>
      <c r="G212" s="49"/>
      <c r="H212" s="49"/>
      <c r="I212" s="49"/>
      <c r="J212" s="49"/>
    </row>
    <row r="213" spans="1:10" s="9" customFormat="1">
      <c r="A213" s="13"/>
      <c r="F213" s="49"/>
      <c r="G213" s="49"/>
      <c r="H213" s="49"/>
      <c r="I213" s="49"/>
      <c r="J213" s="49"/>
    </row>
    <row r="214" spans="1:10" s="9" customFormat="1">
      <c r="A214" s="13"/>
      <c r="F214" s="49"/>
      <c r="G214" s="49"/>
      <c r="H214" s="49"/>
      <c r="I214" s="49"/>
      <c r="J214" s="49"/>
    </row>
    <row r="215" spans="1:10" s="9" customFormat="1">
      <c r="A215" s="13"/>
      <c r="F215" s="49"/>
      <c r="G215" s="49"/>
      <c r="H215" s="49"/>
      <c r="I215" s="49"/>
      <c r="J215" s="49"/>
    </row>
    <row r="216" spans="1:10" s="9" customFormat="1">
      <c r="A216" s="13"/>
      <c r="F216" s="49"/>
      <c r="G216" s="49"/>
      <c r="H216" s="49"/>
      <c r="I216" s="49"/>
      <c r="J216" s="49"/>
    </row>
    <row r="217" spans="1:10" s="9" customFormat="1">
      <c r="A217" s="13"/>
      <c r="F217" s="49"/>
      <c r="G217" s="49"/>
      <c r="H217" s="49"/>
      <c r="I217" s="49"/>
      <c r="J217" s="49"/>
    </row>
    <row r="218" spans="1:10" s="9" customFormat="1">
      <c r="A218" s="13"/>
      <c r="F218" s="49"/>
      <c r="G218" s="49"/>
      <c r="H218" s="49"/>
      <c r="I218" s="49"/>
      <c r="J218" s="49"/>
    </row>
    <row r="219" spans="1:10" s="9" customFormat="1">
      <c r="A219" s="13"/>
      <c r="F219" s="49"/>
      <c r="G219" s="49"/>
      <c r="H219" s="49"/>
      <c r="I219" s="49"/>
      <c r="J219" s="49"/>
    </row>
    <row r="220" spans="1:10" s="9" customFormat="1">
      <c r="A220" s="13"/>
      <c r="F220" s="49"/>
      <c r="G220" s="49"/>
      <c r="H220" s="49"/>
      <c r="I220" s="49"/>
      <c r="J220" s="49"/>
    </row>
    <row r="221" spans="1:10" s="9" customFormat="1">
      <c r="A221" s="13"/>
      <c r="F221" s="49"/>
      <c r="G221" s="49"/>
      <c r="H221" s="49"/>
      <c r="I221" s="49"/>
      <c r="J221" s="49"/>
    </row>
    <row r="222" spans="1:10" s="9" customFormat="1">
      <c r="A222" s="13"/>
      <c r="F222" s="49"/>
      <c r="G222" s="49"/>
      <c r="H222" s="49"/>
      <c r="I222" s="49"/>
      <c r="J222" s="49"/>
    </row>
  </sheetData>
  <mergeCells count="25">
    <mergeCell ref="C53:F53"/>
    <mergeCell ref="H53:J53"/>
    <mergeCell ref="A13:A14"/>
    <mergeCell ref="B13:B14"/>
    <mergeCell ref="F13:F14"/>
    <mergeCell ref="G13:J13"/>
    <mergeCell ref="C52:F52"/>
    <mergeCell ref="H52:J52"/>
    <mergeCell ref="A47:J47"/>
    <mergeCell ref="A16:J16"/>
    <mergeCell ref="C13:C14"/>
    <mergeCell ref="A40:J40"/>
    <mergeCell ref="A32:J32"/>
    <mergeCell ref="A49:J49"/>
    <mergeCell ref="E13:E14"/>
    <mergeCell ref="D13:D14"/>
    <mergeCell ref="A9:J9"/>
    <mergeCell ref="A8:J8"/>
    <mergeCell ref="A11:J11"/>
    <mergeCell ref="A7:J7"/>
    <mergeCell ref="G1:J1"/>
    <mergeCell ref="G2:J2"/>
    <mergeCell ref="G3:J3"/>
    <mergeCell ref="G4:J4"/>
    <mergeCell ref="G5:J5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48" orientation="portrait" r:id="rId1"/>
  <headerFooter alignWithMargins="0">
    <oddHeader xml:space="preserve">&amp;C
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9FF66"/>
  </sheetPr>
  <dimension ref="A2:M377"/>
  <sheetViews>
    <sheetView view="pageBreakPreview" zoomScale="55" zoomScaleNormal="60" zoomScaleSheetLayoutView="55" zoomScalePageLayoutView="55" workbookViewId="0">
      <pane ySplit="6" topLeftCell="A70" activePane="bottomLeft" state="frozen"/>
      <selection pane="bottomLeft" activeCell="D17" sqref="D17"/>
    </sheetView>
  </sheetViews>
  <sheetFormatPr defaultRowHeight="18.75"/>
  <cols>
    <col min="1" max="1" width="86.140625" style="49" customWidth="1"/>
    <col min="2" max="2" width="12" style="9" customWidth="1"/>
    <col min="3" max="3" width="20.140625" style="9" customWidth="1"/>
    <col min="4" max="4" width="16.28515625" style="9" customWidth="1"/>
    <col min="5" max="5" width="19.42578125" style="9" customWidth="1"/>
    <col min="6" max="6" width="19.5703125" style="49" customWidth="1"/>
    <col min="7" max="7" width="16.7109375" style="49" bestFit="1" customWidth="1"/>
    <col min="8" max="10" width="15.28515625" style="49" bestFit="1" customWidth="1"/>
    <col min="11" max="11" width="9.140625" style="49"/>
    <col min="12" max="12" width="11" style="49" bestFit="1" customWidth="1"/>
    <col min="13" max="13" width="32.7109375" style="49" customWidth="1"/>
    <col min="14" max="16384" width="9.140625" style="49"/>
  </cols>
  <sheetData>
    <row r="2" spans="1:10" ht="20.25">
      <c r="A2" s="308" t="s">
        <v>184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20.25">
      <c r="A3" s="248"/>
      <c r="B3" s="154"/>
      <c r="C3" s="248"/>
      <c r="D3" s="248"/>
      <c r="E3" s="248"/>
      <c r="F3" s="248"/>
      <c r="G3" s="248"/>
      <c r="H3" s="248"/>
      <c r="I3" s="248"/>
      <c r="J3" s="155" t="s">
        <v>501</v>
      </c>
    </row>
    <row r="4" spans="1:10" ht="18.75" customHeight="1">
      <c r="A4" s="311" t="s">
        <v>181</v>
      </c>
      <c r="B4" s="310" t="s">
        <v>5</v>
      </c>
      <c r="C4" s="312" t="s">
        <v>627</v>
      </c>
      <c r="D4" s="312" t="s">
        <v>628</v>
      </c>
      <c r="E4" s="312" t="s">
        <v>629</v>
      </c>
      <c r="F4" s="312" t="s">
        <v>630</v>
      </c>
      <c r="G4" s="310" t="s">
        <v>255</v>
      </c>
      <c r="H4" s="310"/>
      <c r="I4" s="310"/>
      <c r="J4" s="310"/>
    </row>
    <row r="5" spans="1:10" ht="48" customHeight="1">
      <c r="A5" s="311"/>
      <c r="B5" s="310"/>
      <c r="C5" s="313" t="s">
        <v>395</v>
      </c>
      <c r="D5" s="313"/>
      <c r="E5" s="313" t="s">
        <v>394</v>
      </c>
      <c r="F5" s="313" t="s">
        <v>393</v>
      </c>
      <c r="G5" s="156" t="s">
        <v>139</v>
      </c>
      <c r="H5" s="156" t="s">
        <v>140</v>
      </c>
      <c r="I5" s="156" t="s">
        <v>141</v>
      </c>
      <c r="J5" s="156" t="s">
        <v>54</v>
      </c>
    </row>
    <row r="6" spans="1:10" ht="20.25">
      <c r="A6" s="251">
        <v>1</v>
      </c>
      <c r="B6" s="250">
        <v>2</v>
      </c>
      <c r="C6" s="250">
        <v>3</v>
      </c>
      <c r="D6" s="250">
        <v>4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</row>
    <row r="7" spans="1:10" s="57" customFormat="1" ht="20.25">
      <c r="A7" s="309" t="s">
        <v>211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0" s="57" customFormat="1" ht="40.5">
      <c r="A8" s="249" t="s">
        <v>212</v>
      </c>
      <c r="B8" s="162">
        <v>1000</v>
      </c>
      <c r="C8" s="131">
        <v>53389.2</v>
      </c>
      <c r="D8" s="131">
        <v>83377.2</v>
      </c>
      <c r="E8" s="163">
        <f>E14*1.2</f>
        <v>83377.2</v>
      </c>
      <c r="F8" s="131">
        <f>F14*1.2</f>
        <v>92335.007999999987</v>
      </c>
      <c r="G8" s="131">
        <f>F8/4</f>
        <v>23083.751999999997</v>
      </c>
      <c r="H8" s="131">
        <f>F8/4</f>
        <v>23083.751999999997</v>
      </c>
      <c r="I8" s="131">
        <f>F8/4</f>
        <v>23083.751999999997</v>
      </c>
      <c r="J8" s="131">
        <f>F8/4</f>
        <v>23083.751999999997</v>
      </c>
    </row>
    <row r="9" spans="1:10" s="57" customFormat="1" ht="20.25">
      <c r="A9" s="132" t="s">
        <v>215</v>
      </c>
      <c r="B9" s="250">
        <v>1010</v>
      </c>
      <c r="C9" s="130">
        <v>45976.1</v>
      </c>
      <c r="D9" s="164">
        <v>78883.399999999994</v>
      </c>
      <c r="E9" s="130">
        <f>E8-E10-E11</f>
        <v>78783.399999999994</v>
      </c>
      <c r="F9" s="130">
        <f>F8-F12-F11-F10</f>
        <v>73132.607999999993</v>
      </c>
      <c r="G9" s="130">
        <f>F9/4</f>
        <v>18283.151999999998</v>
      </c>
      <c r="H9" s="130">
        <f>F9/4</f>
        <v>18283.151999999998</v>
      </c>
      <c r="I9" s="130">
        <f>F9/4</f>
        <v>18283.151999999998</v>
      </c>
      <c r="J9" s="130">
        <f>F9/4</f>
        <v>18283.151999999998</v>
      </c>
    </row>
    <row r="10" spans="1:10" s="57" customFormat="1" ht="20.25">
      <c r="A10" s="132" t="s">
        <v>216</v>
      </c>
      <c r="B10" s="250">
        <v>1011</v>
      </c>
      <c r="C10" s="166">
        <v>6727</v>
      </c>
      <c r="D10" s="164">
        <v>3600</v>
      </c>
      <c r="E10" s="130">
        <v>3600</v>
      </c>
      <c r="F10" s="130">
        <v>1600</v>
      </c>
      <c r="G10" s="130">
        <f>F10/4</f>
        <v>400</v>
      </c>
      <c r="H10" s="130">
        <f>G10</f>
        <v>400</v>
      </c>
      <c r="I10" s="130">
        <f>G10</f>
        <v>400</v>
      </c>
      <c r="J10" s="130">
        <f>G10</f>
        <v>400</v>
      </c>
    </row>
    <row r="11" spans="1:10" s="57" customFormat="1" ht="20.25">
      <c r="A11" s="132" t="s">
        <v>217</v>
      </c>
      <c r="B11" s="287">
        <v>1012</v>
      </c>
      <c r="C11" s="166">
        <v>686.1</v>
      </c>
      <c r="D11" s="164">
        <v>893.8</v>
      </c>
      <c r="E11" s="130">
        <f>E18+E19</f>
        <v>993.8</v>
      </c>
      <c r="F11" s="130">
        <f t="shared" ref="F11:J11" si="0">F18+F19</f>
        <v>2213.4</v>
      </c>
      <c r="G11" s="130">
        <f t="shared" si="0"/>
        <v>513.9</v>
      </c>
      <c r="H11" s="130">
        <f t="shared" si="0"/>
        <v>523.9</v>
      </c>
      <c r="I11" s="130">
        <f t="shared" si="0"/>
        <v>643.9</v>
      </c>
      <c r="J11" s="130">
        <f t="shared" si="0"/>
        <v>531.70000000000005</v>
      </c>
    </row>
    <row r="12" spans="1:10" s="57" customFormat="1" ht="20.25">
      <c r="A12" s="132" t="s">
        <v>213</v>
      </c>
      <c r="B12" s="250">
        <v>1020</v>
      </c>
      <c r="C12" s="130">
        <v>8898.1999999999989</v>
      </c>
      <c r="D12" s="165">
        <v>26676.261499999997</v>
      </c>
      <c r="E12" s="165">
        <f>SUM(F12:I12)</f>
        <v>26930.834000000003</v>
      </c>
      <c r="F12" s="165">
        <f>MROUND(F8/6,0.5)</f>
        <v>15389</v>
      </c>
      <c r="G12" s="130">
        <f>F12/4</f>
        <v>3847.25</v>
      </c>
      <c r="H12" s="130">
        <f>H8/6</f>
        <v>3847.2919999999995</v>
      </c>
      <c r="I12" s="130">
        <f>I8/6</f>
        <v>3847.2919999999995</v>
      </c>
      <c r="J12" s="130">
        <f>J8/6</f>
        <v>3847.2919999999995</v>
      </c>
    </row>
    <row r="13" spans="1:10" s="57" customFormat="1" ht="20.25">
      <c r="A13" s="132" t="s">
        <v>214</v>
      </c>
      <c r="B13" s="250">
        <v>1030</v>
      </c>
      <c r="C13" s="164"/>
      <c r="D13" s="164"/>
      <c r="E13" s="164"/>
      <c r="F13" s="164"/>
      <c r="G13" s="164"/>
      <c r="H13" s="164"/>
      <c r="I13" s="164"/>
      <c r="J13" s="164"/>
    </row>
    <row r="14" spans="1:10" s="57" customFormat="1" ht="40.5">
      <c r="A14" s="249" t="s">
        <v>499</v>
      </c>
      <c r="B14" s="152">
        <v>1040</v>
      </c>
      <c r="C14" s="131">
        <v>44491</v>
      </c>
      <c r="D14" s="131">
        <v>69481</v>
      </c>
      <c r="E14" s="131">
        <v>69481</v>
      </c>
      <c r="F14" s="131">
        <f>SUM(F15:F18)</f>
        <v>76945.84</v>
      </c>
      <c r="G14" s="131">
        <f t="shared" ref="G14:J14" si="1">SUM(G15:G18)</f>
        <v>19222.010000000002</v>
      </c>
      <c r="H14" s="131">
        <f t="shared" si="1"/>
        <v>19232.010000000002</v>
      </c>
      <c r="I14" s="131">
        <f t="shared" si="1"/>
        <v>19252.010000000002</v>
      </c>
      <c r="J14" s="131">
        <f t="shared" si="1"/>
        <v>19239.810000000001</v>
      </c>
    </row>
    <row r="15" spans="1:10" s="57" customFormat="1" ht="20.25">
      <c r="A15" s="133" t="s">
        <v>639</v>
      </c>
      <c r="B15" s="134" t="s">
        <v>519</v>
      </c>
      <c r="C15" s="131">
        <v>42656.9</v>
      </c>
      <c r="D15" s="131">
        <v>53526</v>
      </c>
      <c r="E15" s="167">
        <v>53526</v>
      </c>
      <c r="F15" s="131">
        <f>SUM(G15:J15)</f>
        <v>49468.44</v>
      </c>
      <c r="G15" s="131">
        <f>47000*87.71/1000*3</f>
        <v>12367.11</v>
      </c>
      <c r="H15" s="131">
        <f t="shared" ref="H15:J15" si="2">47000*87.71/1000*3</f>
        <v>12367.11</v>
      </c>
      <c r="I15" s="131">
        <f t="shared" si="2"/>
        <v>12367.11</v>
      </c>
      <c r="J15" s="131">
        <f t="shared" si="2"/>
        <v>12367.11</v>
      </c>
    </row>
    <row r="16" spans="1:10" s="57" customFormat="1" ht="20.25">
      <c r="A16" s="133" t="s">
        <v>658</v>
      </c>
      <c r="B16" s="134" t="s">
        <v>520</v>
      </c>
      <c r="C16" s="131">
        <v>563</v>
      </c>
      <c r="D16" s="131">
        <v>14263</v>
      </c>
      <c r="E16" s="167">
        <v>14263</v>
      </c>
      <c r="F16" s="131">
        <f>SUM(G16:J16)</f>
        <v>24704</v>
      </c>
      <c r="G16" s="131">
        <f>CEILING(51000*40.36*3/1000,1)</f>
        <v>6176</v>
      </c>
      <c r="H16" s="131">
        <f t="shared" ref="H16:J16" si="3">CEILING(51000*40.36*3/1000,1)</f>
        <v>6176</v>
      </c>
      <c r="I16" s="131">
        <f t="shared" si="3"/>
        <v>6176</v>
      </c>
      <c r="J16" s="131">
        <f t="shared" si="3"/>
        <v>6176</v>
      </c>
    </row>
    <row r="17" spans="1:12" s="57" customFormat="1" ht="20.25">
      <c r="A17" s="133" t="s">
        <v>448</v>
      </c>
      <c r="B17" s="134" t="s">
        <v>521</v>
      </c>
      <c r="C17" s="131">
        <v>585</v>
      </c>
      <c r="D17" s="131">
        <v>698.2</v>
      </c>
      <c r="E17" s="167">
        <v>698.2</v>
      </c>
      <c r="F17" s="131">
        <f>SUM(G17:J17)</f>
        <v>660</v>
      </c>
      <c r="G17" s="131">
        <v>165</v>
      </c>
      <c r="H17" s="131">
        <v>165</v>
      </c>
      <c r="I17" s="131">
        <v>165</v>
      </c>
      <c r="J17" s="131">
        <v>165</v>
      </c>
    </row>
    <row r="18" spans="1:12" s="57" customFormat="1" ht="20.25">
      <c r="A18" s="133" t="s">
        <v>449</v>
      </c>
      <c r="B18" s="134" t="s">
        <v>522</v>
      </c>
      <c r="C18" s="131">
        <v>686.1</v>
      </c>
      <c r="D18" s="131">
        <v>893.8</v>
      </c>
      <c r="E18" s="167">
        <v>893.8</v>
      </c>
      <c r="F18" s="131">
        <f>F24</f>
        <v>2113.4</v>
      </c>
      <c r="G18" s="131">
        <f t="shared" ref="G18:J18" si="4">G24</f>
        <v>513.9</v>
      </c>
      <c r="H18" s="131">
        <f t="shared" si="4"/>
        <v>523.9</v>
      </c>
      <c r="I18" s="131">
        <f t="shared" si="4"/>
        <v>543.9</v>
      </c>
      <c r="J18" s="131">
        <f t="shared" si="4"/>
        <v>531.70000000000005</v>
      </c>
    </row>
    <row r="19" spans="1:12" s="57" customFormat="1" ht="40.5">
      <c r="A19" s="133" t="s">
        <v>676</v>
      </c>
      <c r="B19" s="134" t="s">
        <v>677</v>
      </c>
      <c r="C19" s="131">
        <v>0</v>
      </c>
      <c r="D19" s="131">
        <v>100</v>
      </c>
      <c r="E19" s="167">
        <v>100</v>
      </c>
      <c r="F19" s="131">
        <v>100</v>
      </c>
      <c r="G19" s="131">
        <v>0</v>
      </c>
      <c r="H19" s="131">
        <v>0</v>
      </c>
      <c r="I19" s="131">
        <v>100</v>
      </c>
      <c r="J19" s="131">
        <v>0</v>
      </c>
    </row>
    <row r="20" spans="1:12" ht="40.5">
      <c r="A20" s="249" t="s">
        <v>500</v>
      </c>
      <c r="B20" s="152">
        <v>1050</v>
      </c>
      <c r="C20" s="168">
        <v>37982</v>
      </c>
      <c r="D20" s="168">
        <v>60052.700000000004</v>
      </c>
      <c r="E20" s="169">
        <v>60052.700000000004</v>
      </c>
      <c r="F20" s="168">
        <f>SUM(F26:F27,F30:F31,F34,F37,F38,F39)</f>
        <v>67050.560000000012</v>
      </c>
      <c r="G20" s="168">
        <f t="shared" ref="G20:J20" si="5">SUM(G26:G27,G30:G31,G34,G37,G38,G39)</f>
        <v>16748.190000000002</v>
      </c>
      <c r="H20" s="168">
        <f t="shared" si="5"/>
        <v>16758.190000000002</v>
      </c>
      <c r="I20" s="168">
        <f t="shared" si="5"/>
        <v>16778.190000000002</v>
      </c>
      <c r="J20" s="168">
        <f t="shared" si="5"/>
        <v>16765.990000000002</v>
      </c>
    </row>
    <row r="21" spans="1:12" ht="20.25">
      <c r="A21" s="133" t="s">
        <v>446</v>
      </c>
      <c r="B21" s="134" t="s">
        <v>523</v>
      </c>
      <c r="C21" s="168">
        <v>35484.26885</v>
      </c>
      <c r="D21" s="168">
        <v>43757.028000000006</v>
      </c>
      <c r="E21" s="169">
        <v>43757.028000000006</v>
      </c>
      <c r="F21" s="168">
        <f>SUM(G21:J21)</f>
        <v>47560</v>
      </c>
      <c r="G21" s="168">
        <v>11890</v>
      </c>
      <c r="H21" s="168">
        <v>11890</v>
      </c>
      <c r="I21" s="168">
        <v>11890</v>
      </c>
      <c r="J21" s="168">
        <v>11890</v>
      </c>
    </row>
    <row r="22" spans="1:12" ht="20.25">
      <c r="A22" s="133" t="s">
        <v>658</v>
      </c>
      <c r="B22" s="134" t="s">
        <v>524</v>
      </c>
      <c r="C22" s="168">
        <v>615.73114999999996</v>
      </c>
      <c r="D22" s="168">
        <v>13726.672</v>
      </c>
      <c r="E22" s="169">
        <v>13726.672</v>
      </c>
      <c r="F22" s="168">
        <f>SUM(G22:J22)</f>
        <v>22232</v>
      </c>
      <c r="G22" s="131">
        <v>5558</v>
      </c>
      <c r="H22" s="131">
        <f>G22</f>
        <v>5558</v>
      </c>
      <c r="I22" s="131">
        <f>G22</f>
        <v>5558</v>
      </c>
      <c r="J22" s="131">
        <f>G22</f>
        <v>5558</v>
      </c>
    </row>
    <row r="23" spans="1:12" ht="20.25">
      <c r="A23" s="133" t="s">
        <v>448</v>
      </c>
      <c r="B23" s="134" t="s">
        <v>525</v>
      </c>
      <c r="C23" s="168">
        <v>732</v>
      </c>
      <c r="D23" s="168">
        <v>953</v>
      </c>
      <c r="E23" s="169">
        <v>953</v>
      </c>
      <c r="F23" s="168">
        <v>720</v>
      </c>
      <c r="G23" s="131">
        <f>F23/4</f>
        <v>180</v>
      </c>
      <c r="H23" s="131">
        <f>G23</f>
        <v>180</v>
      </c>
      <c r="I23" s="131">
        <f>G23</f>
        <v>180</v>
      </c>
      <c r="J23" s="131">
        <f>G23</f>
        <v>180</v>
      </c>
    </row>
    <row r="24" spans="1:12" ht="20.25">
      <c r="A24" s="133" t="s">
        <v>449</v>
      </c>
      <c r="B24" s="134" t="s">
        <v>526</v>
      </c>
      <c r="C24" s="168">
        <v>1150</v>
      </c>
      <c r="D24" s="168">
        <v>1516</v>
      </c>
      <c r="E24" s="169">
        <v>1516</v>
      </c>
      <c r="F24" s="168">
        <f>F29+F32+F35+F47+F53+F54+F60+F61+F62+F63</f>
        <v>2113.4</v>
      </c>
      <c r="G24" s="168">
        <f t="shared" ref="G24:J24" si="6">G29+G32+G35+G47+G53+G54+G60+G61+G62+G63</f>
        <v>513.9</v>
      </c>
      <c r="H24" s="168">
        <f t="shared" si="6"/>
        <v>523.9</v>
      </c>
      <c r="I24" s="168">
        <f t="shared" si="6"/>
        <v>543.9</v>
      </c>
      <c r="J24" s="168">
        <f t="shared" si="6"/>
        <v>531.70000000000005</v>
      </c>
    </row>
    <row r="25" spans="1:12" ht="40.5">
      <c r="A25" s="133" t="s">
        <v>676</v>
      </c>
      <c r="B25" s="134" t="s">
        <v>678</v>
      </c>
      <c r="C25" s="168">
        <v>0</v>
      </c>
      <c r="D25" s="168">
        <v>100</v>
      </c>
      <c r="E25" s="169">
        <v>100</v>
      </c>
      <c r="F25" s="168">
        <v>100</v>
      </c>
      <c r="G25" s="168">
        <v>0</v>
      </c>
      <c r="H25" s="168">
        <v>0</v>
      </c>
      <c r="I25" s="168">
        <v>100</v>
      </c>
      <c r="J25" s="168">
        <v>0</v>
      </c>
    </row>
    <row r="26" spans="1:12" s="2" customFormat="1" ht="20.25">
      <c r="A26" s="153" t="s">
        <v>609</v>
      </c>
      <c r="B26" s="129">
        <v>1051</v>
      </c>
      <c r="C26" s="130">
        <v>1598</v>
      </c>
      <c r="D26" s="130">
        <v>1532.7</v>
      </c>
      <c r="E26" s="130">
        <v>1532.7</v>
      </c>
      <c r="F26" s="130">
        <v>1680</v>
      </c>
      <c r="G26" s="130">
        <f t="shared" ref="G26:G32" si="7">F26/4</f>
        <v>420</v>
      </c>
      <c r="H26" s="130">
        <f t="shared" ref="H26:H36" si="8">G26</f>
        <v>420</v>
      </c>
      <c r="I26" s="130">
        <f t="shared" ref="I26:I35" si="9">G26</f>
        <v>420</v>
      </c>
      <c r="J26" s="130">
        <f t="shared" ref="J26:J36" si="10">G26</f>
        <v>420</v>
      </c>
      <c r="L26" s="222"/>
    </row>
    <row r="27" spans="1:12" s="2" customFormat="1" ht="20.25">
      <c r="A27" s="153" t="s">
        <v>47</v>
      </c>
      <c r="B27" s="129">
        <v>1052</v>
      </c>
      <c r="C27" s="130">
        <v>2741</v>
      </c>
      <c r="D27" s="130">
        <v>3485.8</v>
      </c>
      <c r="E27" s="130">
        <v>3485.8</v>
      </c>
      <c r="F27" s="130">
        <f>SUM(G27:J27)</f>
        <v>3360</v>
      </c>
      <c r="G27" s="130">
        <f>280*3</f>
        <v>840</v>
      </c>
      <c r="H27" s="130">
        <f t="shared" si="8"/>
        <v>840</v>
      </c>
      <c r="I27" s="130">
        <f t="shared" si="9"/>
        <v>840</v>
      </c>
      <c r="J27" s="130">
        <f t="shared" si="10"/>
        <v>840</v>
      </c>
    </row>
    <row r="28" spans="1:12" s="2" customFormat="1" ht="40.5">
      <c r="A28" s="170" t="s">
        <v>679</v>
      </c>
      <c r="B28" s="251" t="s">
        <v>680</v>
      </c>
      <c r="C28" s="130">
        <v>0</v>
      </c>
      <c r="D28" s="130">
        <v>57.3</v>
      </c>
      <c r="E28" s="165">
        <v>57.3</v>
      </c>
      <c r="F28" s="130">
        <v>57.3</v>
      </c>
      <c r="G28" s="130">
        <v>0</v>
      </c>
      <c r="H28" s="130">
        <v>0</v>
      </c>
      <c r="I28" s="130">
        <v>57.3</v>
      </c>
      <c r="J28" s="130">
        <v>0</v>
      </c>
    </row>
    <row r="29" spans="1:12" s="2" customFormat="1" ht="20.25">
      <c r="A29" s="278" t="s">
        <v>690</v>
      </c>
      <c r="B29" s="268" t="s">
        <v>689</v>
      </c>
      <c r="C29" s="130">
        <v>0</v>
      </c>
      <c r="D29" s="130">
        <v>0</v>
      </c>
      <c r="E29" s="165">
        <v>0</v>
      </c>
      <c r="F29" s="275">
        <v>72.400000000000006</v>
      </c>
      <c r="G29" s="275">
        <f>$F$29/4</f>
        <v>18.100000000000001</v>
      </c>
      <c r="H29" s="275">
        <f t="shared" ref="H29:J29" si="11">$F$29/4</f>
        <v>18.100000000000001</v>
      </c>
      <c r="I29" s="275">
        <f t="shared" si="11"/>
        <v>18.100000000000001</v>
      </c>
      <c r="J29" s="275">
        <f t="shared" si="11"/>
        <v>18.100000000000001</v>
      </c>
    </row>
    <row r="30" spans="1:12" s="2" customFormat="1" ht="20.25">
      <c r="A30" s="153" t="s">
        <v>46</v>
      </c>
      <c r="B30" s="129">
        <v>1053</v>
      </c>
      <c r="C30" s="130">
        <v>185</v>
      </c>
      <c r="D30" s="130">
        <v>260</v>
      </c>
      <c r="E30" s="165">
        <v>260</v>
      </c>
      <c r="F30" s="130">
        <f>SUM(G30:J30)</f>
        <v>300</v>
      </c>
      <c r="G30" s="130">
        <v>75</v>
      </c>
      <c r="H30" s="130">
        <f t="shared" si="8"/>
        <v>75</v>
      </c>
      <c r="I30" s="130">
        <f t="shared" si="9"/>
        <v>75</v>
      </c>
      <c r="J30" s="130">
        <f t="shared" si="10"/>
        <v>75</v>
      </c>
    </row>
    <row r="31" spans="1:12" s="2" customFormat="1" ht="20.25">
      <c r="A31" s="153" t="s">
        <v>565</v>
      </c>
      <c r="B31" s="129">
        <v>1054</v>
      </c>
      <c r="C31" s="130">
        <v>5539.6</v>
      </c>
      <c r="D31" s="130">
        <v>9008.9</v>
      </c>
      <c r="E31" s="165">
        <v>9008.9</v>
      </c>
      <c r="F31" s="130">
        <v>9500</v>
      </c>
      <c r="G31" s="130">
        <f t="shared" si="7"/>
        <v>2375</v>
      </c>
      <c r="H31" s="130">
        <f t="shared" si="8"/>
        <v>2375</v>
      </c>
      <c r="I31" s="130">
        <f t="shared" si="9"/>
        <v>2375</v>
      </c>
      <c r="J31" s="130">
        <f t="shared" si="10"/>
        <v>2375</v>
      </c>
    </row>
    <row r="32" spans="1:12" s="2" customFormat="1" ht="20.25">
      <c r="A32" s="278" t="s">
        <v>566</v>
      </c>
      <c r="B32" s="251" t="s">
        <v>567</v>
      </c>
      <c r="C32" s="130">
        <v>159.9</v>
      </c>
      <c r="D32" s="130">
        <v>472</v>
      </c>
      <c r="E32" s="165">
        <v>472</v>
      </c>
      <c r="F32" s="275">
        <v>819.6</v>
      </c>
      <c r="G32" s="275">
        <f t="shared" si="7"/>
        <v>204.9</v>
      </c>
      <c r="H32" s="275">
        <f t="shared" si="8"/>
        <v>204.9</v>
      </c>
      <c r="I32" s="275">
        <f t="shared" si="9"/>
        <v>204.9</v>
      </c>
      <c r="J32" s="275">
        <f t="shared" si="10"/>
        <v>204.9</v>
      </c>
    </row>
    <row r="33" spans="1:10" s="2" customFormat="1" ht="20.25">
      <c r="A33" s="170" t="s">
        <v>681</v>
      </c>
      <c r="B33" s="251" t="s">
        <v>682</v>
      </c>
      <c r="C33" s="130">
        <v>0</v>
      </c>
      <c r="D33" s="130">
        <v>35</v>
      </c>
      <c r="E33" s="165">
        <v>35</v>
      </c>
      <c r="F33" s="130">
        <v>35</v>
      </c>
      <c r="G33" s="130">
        <v>0</v>
      </c>
      <c r="H33" s="130">
        <v>0</v>
      </c>
      <c r="I33" s="130">
        <v>35</v>
      </c>
      <c r="J33" s="130">
        <f t="shared" si="10"/>
        <v>0</v>
      </c>
    </row>
    <row r="34" spans="1:10" s="2" customFormat="1" ht="20.25">
      <c r="A34" s="153" t="s">
        <v>23</v>
      </c>
      <c r="B34" s="129">
        <v>1055</v>
      </c>
      <c r="C34" s="130">
        <v>1180</v>
      </c>
      <c r="D34" s="130">
        <v>1905.7</v>
      </c>
      <c r="E34" s="165">
        <v>1905.7</v>
      </c>
      <c r="F34" s="130">
        <f>SUM(G34:J34)</f>
        <v>2090</v>
      </c>
      <c r="G34" s="130">
        <v>522.5</v>
      </c>
      <c r="H34" s="130">
        <f t="shared" si="8"/>
        <v>522.5</v>
      </c>
      <c r="I34" s="130">
        <f t="shared" si="9"/>
        <v>522.5</v>
      </c>
      <c r="J34" s="130">
        <f t="shared" si="10"/>
        <v>522.5</v>
      </c>
    </row>
    <row r="35" spans="1:10" s="2" customFormat="1" ht="40.5">
      <c r="A35" s="278" t="s">
        <v>608</v>
      </c>
      <c r="B35" s="251" t="s">
        <v>596</v>
      </c>
      <c r="C35" s="130">
        <v>30.3</v>
      </c>
      <c r="D35" s="130">
        <v>103.8</v>
      </c>
      <c r="E35" s="165">
        <v>103.8</v>
      </c>
      <c r="F35" s="275">
        <v>180</v>
      </c>
      <c r="G35" s="275">
        <f>$F$35/4</f>
        <v>45</v>
      </c>
      <c r="H35" s="275">
        <f t="shared" si="8"/>
        <v>45</v>
      </c>
      <c r="I35" s="275">
        <f t="shared" si="9"/>
        <v>45</v>
      </c>
      <c r="J35" s="275">
        <f t="shared" si="10"/>
        <v>45</v>
      </c>
    </row>
    <row r="36" spans="1:10" s="2" customFormat="1" ht="20.25">
      <c r="A36" s="170" t="s">
        <v>681</v>
      </c>
      <c r="B36" s="251" t="s">
        <v>682</v>
      </c>
      <c r="C36" s="130">
        <v>0</v>
      </c>
      <c r="D36" s="130">
        <v>7.7</v>
      </c>
      <c r="E36" s="165">
        <v>7.7</v>
      </c>
      <c r="F36" s="130">
        <v>7.7</v>
      </c>
      <c r="G36" s="130">
        <v>0</v>
      </c>
      <c r="H36" s="130">
        <f t="shared" si="8"/>
        <v>0</v>
      </c>
      <c r="I36" s="130">
        <v>7.7</v>
      </c>
      <c r="J36" s="130">
        <f t="shared" si="10"/>
        <v>0</v>
      </c>
    </row>
    <row r="37" spans="1:10" s="2" customFormat="1" ht="60.75">
      <c r="A37" s="153" t="s">
        <v>176</v>
      </c>
      <c r="B37" s="129">
        <v>1056</v>
      </c>
      <c r="C37" s="130">
        <v>0</v>
      </c>
      <c r="D37" s="130">
        <v>79</v>
      </c>
      <c r="E37" s="130">
        <v>79</v>
      </c>
      <c r="F37" s="130">
        <v>150</v>
      </c>
      <c r="G37" s="130">
        <f>$F$37/4</f>
        <v>37.5</v>
      </c>
      <c r="H37" s="130">
        <f>$F$37/4</f>
        <v>37.5</v>
      </c>
      <c r="I37" s="130">
        <f>$F$37/4</f>
        <v>37.5</v>
      </c>
      <c r="J37" s="130">
        <f>$F$37/4</f>
        <v>37.5</v>
      </c>
    </row>
    <row r="38" spans="1:10" s="2" customFormat="1" ht="20.25">
      <c r="A38" s="153" t="s">
        <v>45</v>
      </c>
      <c r="B38" s="129">
        <v>1057</v>
      </c>
      <c r="C38" s="130">
        <v>1245</v>
      </c>
      <c r="D38" s="130">
        <v>1443</v>
      </c>
      <c r="E38" s="130">
        <v>1443</v>
      </c>
      <c r="F38" s="130">
        <v>1500</v>
      </c>
      <c r="G38" s="130">
        <f>F38/4</f>
        <v>375</v>
      </c>
      <c r="H38" s="130">
        <f>G38</f>
        <v>375</v>
      </c>
      <c r="I38" s="130">
        <f>G38</f>
        <v>375</v>
      </c>
      <c r="J38" s="130">
        <f>G38</f>
        <v>375</v>
      </c>
    </row>
    <row r="39" spans="1:10" s="2" customFormat="1" ht="20.25">
      <c r="A39" s="249" t="s">
        <v>511</v>
      </c>
      <c r="B39" s="152">
        <v>1058</v>
      </c>
      <c r="C39" s="131">
        <f>SUM(C40:C56)</f>
        <v>25452.899999999998</v>
      </c>
      <c r="D39" s="131">
        <f>SUM(D40:D59)</f>
        <v>42337.600000000006</v>
      </c>
      <c r="E39" s="131">
        <f>SUM(E40:E59)</f>
        <v>42337.600000000006</v>
      </c>
      <c r="F39" s="131">
        <f>SUM(F40:F63)</f>
        <v>48470.560000000012</v>
      </c>
      <c r="G39" s="131">
        <f t="shared" ref="G39:J39" si="12">SUM(G40:G63)</f>
        <v>12103.190000000002</v>
      </c>
      <c r="H39" s="131">
        <f t="shared" si="12"/>
        <v>12113.190000000002</v>
      </c>
      <c r="I39" s="131">
        <f t="shared" si="12"/>
        <v>12133.190000000002</v>
      </c>
      <c r="J39" s="131">
        <f t="shared" si="12"/>
        <v>12120.990000000002</v>
      </c>
    </row>
    <row r="40" spans="1:10" s="2" customFormat="1" ht="20.25">
      <c r="A40" s="153" t="s">
        <v>396</v>
      </c>
      <c r="B40" s="129" t="s">
        <v>398</v>
      </c>
      <c r="C40" s="130">
        <v>1846.1</v>
      </c>
      <c r="D40" s="130">
        <v>1671.1999999999998</v>
      </c>
      <c r="E40" s="130">
        <v>1671.1999999999998</v>
      </c>
      <c r="F40" s="130">
        <f>Лист1!B45</f>
        <v>1868</v>
      </c>
      <c r="G40" s="130">
        <f>F40/4</f>
        <v>467</v>
      </c>
      <c r="H40" s="130">
        <f>G40</f>
        <v>467</v>
      </c>
      <c r="I40" s="130">
        <f>G40</f>
        <v>467</v>
      </c>
      <c r="J40" s="130">
        <f>G40</f>
        <v>467</v>
      </c>
    </row>
    <row r="41" spans="1:10" s="2" customFormat="1" ht="20.25">
      <c r="A41" s="153" t="s">
        <v>397</v>
      </c>
      <c r="B41" s="129" t="s">
        <v>399</v>
      </c>
      <c r="C41" s="130">
        <v>20755.2</v>
      </c>
      <c r="D41" s="130">
        <v>31924.5</v>
      </c>
      <c r="E41" s="165">
        <v>31924.5</v>
      </c>
      <c r="F41" s="130">
        <v>32800</v>
      </c>
      <c r="G41" s="130">
        <f>F41/4</f>
        <v>8200</v>
      </c>
      <c r="H41" s="130">
        <f>G41</f>
        <v>8200</v>
      </c>
      <c r="I41" s="130">
        <f>G41</f>
        <v>8200</v>
      </c>
      <c r="J41" s="130">
        <f>G41</f>
        <v>8200</v>
      </c>
    </row>
    <row r="42" spans="1:10" s="2" customFormat="1" ht="20.25">
      <c r="A42" s="153" t="s">
        <v>401</v>
      </c>
      <c r="B42" s="129" t="s">
        <v>400</v>
      </c>
      <c r="C42" s="130">
        <v>110.5</v>
      </c>
      <c r="D42" s="130">
        <v>135.30000000000001</v>
      </c>
      <c r="E42" s="165">
        <v>135.30000000000001</v>
      </c>
      <c r="F42" s="130">
        <v>150</v>
      </c>
      <c r="G42" s="130">
        <f>F42/4</f>
        <v>37.5</v>
      </c>
      <c r="H42" s="130">
        <f>G42</f>
        <v>37.5</v>
      </c>
      <c r="I42" s="130">
        <f>G42</f>
        <v>37.5</v>
      </c>
      <c r="J42" s="130">
        <f>G42</f>
        <v>37.5</v>
      </c>
    </row>
    <row r="43" spans="1:10" s="2" customFormat="1" ht="20.25">
      <c r="A43" s="153" t="s">
        <v>652</v>
      </c>
      <c r="B43" s="129" t="s">
        <v>402</v>
      </c>
      <c r="C43" s="130">
        <v>0</v>
      </c>
      <c r="D43" s="130">
        <v>3490</v>
      </c>
      <c r="E43" s="165">
        <v>3490</v>
      </c>
      <c r="F43" s="130">
        <v>6980</v>
      </c>
      <c r="G43" s="130">
        <f>F43/4</f>
        <v>1745</v>
      </c>
      <c r="H43" s="130">
        <f>G43</f>
        <v>1745</v>
      </c>
      <c r="I43" s="130">
        <f>G43</f>
        <v>1745</v>
      </c>
      <c r="J43" s="130">
        <f>G43</f>
        <v>1745</v>
      </c>
    </row>
    <row r="44" spans="1:10" s="2" customFormat="1" ht="20.25">
      <c r="A44" s="153" t="s">
        <v>403</v>
      </c>
      <c r="B44" s="129" t="s">
        <v>404</v>
      </c>
      <c r="C44" s="130">
        <v>400.20000000000005</v>
      </c>
      <c r="D44" s="130">
        <v>300.7</v>
      </c>
      <c r="E44" s="165">
        <v>300.7</v>
      </c>
      <c r="F44" s="130">
        <v>300</v>
      </c>
      <c r="G44" s="130">
        <f t="shared" ref="G44:G52" si="13">F44/4</f>
        <v>75</v>
      </c>
      <c r="H44" s="130">
        <f t="shared" ref="H44:H53" si="14">G44</f>
        <v>75</v>
      </c>
      <c r="I44" s="130">
        <f t="shared" ref="I44:I51" si="15">G44</f>
        <v>75</v>
      </c>
      <c r="J44" s="130">
        <f t="shared" ref="J44:J51" si="16">G44</f>
        <v>75</v>
      </c>
    </row>
    <row r="45" spans="1:10" s="2" customFormat="1" ht="20.25">
      <c r="A45" s="153" t="s">
        <v>405</v>
      </c>
      <c r="B45" s="129" t="s">
        <v>406</v>
      </c>
      <c r="C45" s="130">
        <v>185.1</v>
      </c>
      <c r="D45" s="130">
        <v>239.4</v>
      </c>
      <c r="E45" s="165">
        <v>239.4</v>
      </c>
      <c r="F45" s="130">
        <v>390</v>
      </c>
      <c r="G45" s="130">
        <f t="shared" si="13"/>
        <v>97.5</v>
      </c>
      <c r="H45" s="130">
        <f t="shared" si="14"/>
        <v>97.5</v>
      </c>
      <c r="I45" s="130">
        <f t="shared" si="15"/>
        <v>97.5</v>
      </c>
      <c r="J45" s="130">
        <f t="shared" si="16"/>
        <v>97.5</v>
      </c>
    </row>
    <row r="46" spans="1:10" s="2" customFormat="1" ht="20.25">
      <c r="A46" s="153" t="s">
        <v>407</v>
      </c>
      <c r="B46" s="129" t="s">
        <v>408</v>
      </c>
      <c r="C46" s="130">
        <v>978.5</v>
      </c>
      <c r="D46" s="130">
        <v>1000.8</v>
      </c>
      <c r="E46" s="165">
        <v>1000.8</v>
      </c>
      <c r="F46" s="130">
        <v>1020</v>
      </c>
      <c r="G46" s="130">
        <f t="shared" si="13"/>
        <v>255</v>
      </c>
      <c r="H46" s="130">
        <f t="shared" si="14"/>
        <v>255</v>
      </c>
      <c r="I46" s="130">
        <f t="shared" si="15"/>
        <v>255</v>
      </c>
      <c r="J46" s="130">
        <f t="shared" si="16"/>
        <v>255</v>
      </c>
    </row>
    <row r="47" spans="1:10" s="2" customFormat="1" ht="20.25">
      <c r="A47" s="276" t="s">
        <v>409</v>
      </c>
      <c r="B47" s="129" t="s">
        <v>410</v>
      </c>
      <c r="C47" s="130">
        <v>199</v>
      </c>
      <c r="D47" s="130">
        <v>345</v>
      </c>
      <c r="E47" s="165">
        <v>345</v>
      </c>
      <c r="F47" s="275">
        <v>788.4</v>
      </c>
      <c r="G47" s="275">
        <f t="shared" si="13"/>
        <v>197.1</v>
      </c>
      <c r="H47" s="275">
        <f t="shared" si="14"/>
        <v>197.1</v>
      </c>
      <c r="I47" s="275">
        <f t="shared" si="15"/>
        <v>197.1</v>
      </c>
      <c r="J47" s="275">
        <f t="shared" si="16"/>
        <v>197.1</v>
      </c>
    </row>
    <row r="48" spans="1:10" ht="20.25">
      <c r="A48" s="157" t="s">
        <v>607</v>
      </c>
      <c r="B48" s="129" t="s">
        <v>411</v>
      </c>
      <c r="C48" s="171">
        <v>0</v>
      </c>
      <c r="D48" s="130">
        <v>251.2</v>
      </c>
      <c r="E48" s="165">
        <v>251.2</v>
      </c>
      <c r="F48" s="130">
        <v>280</v>
      </c>
      <c r="G48" s="130">
        <f t="shared" si="13"/>
        <v>70</v>
      </c>
      <c r="H48" s="130">
        <f t="shared" si="14"/>
        <v>70</v>
      </c>
      <c r="I48" s="130">
        <f t="shared" si="15"/>
        <v>70</v>
      </c>
      <c r="J48" s="130">
        <f t="shared" si="16"/>
        <v>70</v>
      </c>
    </row>
    <row r="49" spans="1:13" ht="20.25">
      <c r="A49" s="157" t="s">
        <v>450</v>
      </c>
      <c r="B49" s="129" t="s">
        <v>413</v>
      </c>
      <c r="C49" s="171">
        <v>455.5</v>
      </c>
      <c r="D49" s="130">
        <v>600</v>
      </c>
      <c r="E49" s="165">
        <v>600</v>
      </c>
      <c r="F49" s="130">
        <v>380</v>
      </c>
      <c r="G49" s="130">
        <f t="shared" si="13"/>
        <v>95</v>
      </c>
      <c r="H49" s="130">
        <f t="shared" si="14"/>
        <v>95</v>
      </c>
      <c r="I49" s="130">
        <f t="shared" si="15"/>
        <v>95</v>
      </c>
      <c r="J49" s="130">
        <f t="shared" si="16"/>
        <v>95</v>
      </c>
    </row>
    <row r="50" spans="1:13" ht="20.25">
      <c r="A50" s="157" t="s">
        <v>452</v>
      </c>
      <c r="B50" s="129" t="s">
        <v>451</v>
      </c>
      <c r="C50" s="171">
        <v>12.2</v>
      </c>
      <c r="D50" s="130">
        <v>12.8</v>
      </c>
      <c r="E50" s="165">
        <v>12.8</v>
      </c>
      <c r="F50" s="130">
        <v>20</v>
      </c>
      <c r="G50" s="130">
        <f t="shared" si="13"/>
        <v>5</v>
      </c>
      <c r="H50" s="130">
        <f t="shared" si="14"/>
        <v>5</v>
      </c>
      <c r="I50" s="130">
        <f t="shared" si="15"/>
        <v>5</v>
      </c>
      <c r="J50" s="130">
        <f t="shared" si="16"/>
        <v>5</v>
      </c>
    </row>
    <row r="51" spans="1:13" ht="60.75">
      <c r="A51" s="153" t="s">
        <v>458</v>
      </c>
      <c r="B51" s="129" t="s">
        <v>505</v>
      </c>
      <c r="C51" s="171">
        <v>186.5</v>
      </c>
      <c r="D51" s="130">
        <v>338.3</v>
      </c>
      <c r="E51" s="130">
        <v>338.3</v>
      </c>
      <c r="F51" s="130">
        <v>300</v>
      </c>
      <c r="G51" s="130">
        <f t="shared" si="13"/>
        <v>75</v>
      </c>
      <c r="H51" s="130">
        <f t="shared" si="14"/>
        <v>75</v>
      </c>
      <c r="I51" s="130">
        <f t="shared" si="15"/>
        <v>75</v>
      </c>
      <c r="J51" s="130">
        <f t="shared" si="16"/>
        <v>75</v>
      </c>
    </row>
    <row r="52" spans="1:13" ht="20.25">
      <c r="A52" s="157" t="s">
        <v>557</v>
      </c>
      <c r="B52" s="129" t="s">
        <v>564</v>
      </c>
      <c r="C52" s="171">
        <v>0</v>
      </c>
      <c r="D52" s="130">
        <v>200</v>
      </c>
      <c r="E52" s="130">
        <v>200</v>
      </c>
      <c r="F52" s="130">
        <v>200</v>
      </c>
      <c r="G52" s="130">
        <f t="shared" si="13"/>
        <v>50</v>
      </c>
      <c r="H52" s="130">
        <f t="shared" si="14"/>
        <v>50</v>
      </c>
      <c r="I52" s="130">
        <f>G52</f>
        <v>50</v>
      </c>
      <c r="J52" s="130">
        <f>G52</f>
        <v>50</v>
      </c>
    </row>
    <row r="53" spans="1:13" ht="20.25">
      <c r="A53" s="277" t="s">
        <v>563</v>
      </c>
      <c r="B53" s="129" t="s">
        <v>598</v>
      </c>
      <c r="C53" s="171">
        <v>0</v>
      </c>
      <c r="D53" s="130">
        <v>72</v>
      </c>
      <c r="E53" s="130">
        <v>72</v>
      </c>
      <c r="F53" s="275">
        <v>132.80000000000001</v>
      </c>
      <c r="G53" s="275">
        <f>$F$53/4</f>
        <v>33.200000000000003</v>
      </c>
      <c r="H53" s="275">
        <f t="shared" si="14"/>
        <v>33.200000000000003</v>
      </c>
      <c r="I53" s="275">
        <f>G53</f>
        <v>33.200000000000003</v>
      </c>
      <c r="J53" s="275">
        <f>G53</f>
        <v>33.200000000000003</v>
      </c>
    </row>
    <row r="54" spans="1:13" ht="20.25">
      <c r="A54" s="277" t="s">
        <v>683</v>
      </c>
      <c r="B54" s="129" t="s">
        <v>599</v>
      </c>
      <c r="C54" s="171">
        <v>0</v>
      </c>
      <c r="D54" s="130">
        <v>49</v>
      </c>
      <c r="E54" s="130">
        <v>49</v>
      </c>
      <c r="F54" s="275">
        <v>57.8</v>
      </c>
      <c r="G54" s="275">
        <v>0</v>
      </c>
      <c r="H54" s="275">
        <v>10</v>
      </c>
      <c r="I54" s="275">
        <v>30</v>
      </c>
      <c r="J54" s="275">
        <f>F54-G54-H54-I54</f>
        <v>17.799999999999997</v>
      </c>
    </row>
    <row r="55" spans="1:13" ht="20.25">
      <c r="A55" s="157" t="s">
        <v>603</v>
      </c>
      <c r="B55" s="129" t="s">
        <v>600</v>
      </c>
      <c r="C55" s="171">
        <v>8.1</v>
      </c>
      <c r="D55" s="130">
        <v>20.8</v>
      </c>
      <c r="E55" s="130">
        <v>20.8</v>
      </c>
      <c r="F55" s="130">
        <f>(1800+4085+4409+539+2747)*2/1000</f>
        <v>27.16</v>
      </c>
      <c r="G55" s="130">
        <f>$F$55/4</f>
        <v>6.79</v>
      </c>
      <c r="H55" s="130">
        <f>$F$55/4</f>
        <v>6.79</v>
      </c>
      <c r="I55" s="130">
        <f>$F$55/4</f>
        <v>6.79</v>
      </c>
      <c r="J55" s="130">
        <f>$F$55/4</f>
        <v>6.79</v>
      </c>
      <c r="K55" s="221"/>
    </row>
    <row r="56" spans="1:13" ht="40.5">
      <c r="A56" s="153" t="s">
        <v>606</v>
      </c>
      <c r="B56" s="129" t="s">
        <v>601</v>
      </c>
      <c r="C56" s="171">
        <v>316</v>
      </c>
      <c r="D56" s="130">
        <v>154.6</v>
      </c>
      <c r="E56" s="130">
        <v>154.6</v>
      </c>
      <c r="F56" s="130">
        <v>150</v>
      </c>
      <c r="G56" s="130">
        <f>$F$56/4</f>
        <v>37.5</v>
      </c>
      <c r="H56" s="130">
        <f>$F$56/4</f>
        <v>37.5</v>
      </c>
      <c r="I56" s="130">
        <f>$F$56/4</f>
        <v>37.5</v>
      </c>
      <c r="J56" s="130">
        <f>$F$56/4</f>
        <v>37.5</v>
      </c>
    </row>
    <row r="57" spans="1:13" ht="20.25">
      <c r="A57" s="153" t="s">
        <v>653</v>
      </c>
      <c r="B57" s="129" t="s">
        <v>602</v>
      </c>
      <c r="C57" s="171">
        <v>0</v>
      </c>
      <c r="D57" s="171">
        <v>570</v>
      </c>
      <c r="E57" s="130">
        <v>570</v>
      </c>
      <c r="F57" s="130">
        <v>1040</v>
      </c>
      <c r="G57" s="130">
        <f>$F$57/4</f>
        <v>260</v>
      </c>
      <c r="H57" s="130">
        <f t="shared" ref="H57:J57" si="17">$F$57/4</f>
        <v>260</v>
      </c>
      <c r="I57" s="130">
        <f t="shared" si="17"/>
        <v>260</v>
      </c>
      <c r="J57" s="130">
        <f t="shared" si="17"/>
        <v>260</v>
      </c>
    </row>
    <row r="58" spans="1:13" ht="20.25">
      <c r="A58" s="153" t="s">
        <v>654</v>
      </c>
      <c r="B58" s="129" t="s">
        <v>604</v>
      </c>
      <c r="C58" s="171">
        <v>0</v>
      </c>
      <c r="D58" s="171">
        <v>762</v>
      </c>
      <c r="E58" s="130">
        <v>762</v>
      </c>
      <c r="F58" s="130">
        <v>1524</v>
      </c>
      <c r="G58" s="130">
        <f>$F$58/4</f>
        <v>381</v>
      </c>
      <c r="H58" s="130">
        <f t="shared" ref="H58:J58" si="18">$F$58/4</f>
        <v>381</v>
      </c>
      <c r="I58" s="130">
        <f t="shared" si="18"/>
        <v>381</v>
      </c>
      <c r="J58" s="130">
        <f t="shared" si="18"/>
        <v>381</v>
      </c>
    </row>
    <row r="59" spans="1:13" ht="20.25">
      <c r="A59" s="153" t="s">
        <v>655</v>
      </c>
      <c r="B59" s="129" t="s">
        <v>605</v>
      </c>
      <c r="C59" s="171">
        <v>0</v>
      </c>
      <c r="D59" s="171">
        <v>200</v>
      </c>
      <c r="E59" s="130">
        <v>200</v>
      </c>
      <c r="F59" s="130">
        <v>0</v>
      </c>
      <c r="G59" s="130">
        <v>0</v>
      </c>
      <c r="H59" s="130">
        <v>0</v>
      </c>
      <c r="I59" s="130">
        <v>0</v>
      </c>
      <c r="J59" s="130">
        <f t="shared" ref="J59" si="19">$F$59/4</f>
        <v>0</v>
      </c>
      <c r="M59" s="49">
        <f>ROUNDUP(2.24,1)</f>
        <v>2.3000000000000003</v>
      </c>
    </row>
    <row r="60" spans="1:13" ht="20.25">
      <c r="A60" s="276" t="s">
        <v>687</v>
      </c>
      <c r="B60" s="129" t="s">
        <v>688</v>
      </c>
      <c r="C60" s="171">
        <v>0</v>
      </c>
      <c r="D60" s="171">
        <v>0</v>
      </c>
      <c r="E60" s="130">
        <v>0</v>
      </c>
      <c r="F60" s="275">
        <v>3.6</v>
      </c>
      <c r="G60" s="275">
        <f>$F$60/4</f>
        <v>0.9</v>
      </c>
      <c r="H60" s="275">
        <f t="shared" ref="H60:J60" si="20">$F$60/4</f>
        <v>0.9</v>
      </c>
      <c r="I60" s="275">
        <f t="shared" si="20"/>
        <v>0.9</v>
      </c>
      <c r="J60" s="275">
        <f t="shared" si="20"/>
        <v>0.9</v>
      </c>
    </row>
    <row r="61" spans="1:13" ht="20.25">
      <c r="A61" s="276" t="s">
        <v>694</v>
      </c>
      <c r="B61" s="129" t="s">
        <v>692</v>
      </c>
      <c r="C61" s="171">
        <v>0</v>
      </c>
      <c r="D61" s="171">
        <v>0</v>
      </c>
      <c r="E61" s="130">
        <v>0</v>
      </c>
      <c r="F61" s="275">
        <v>6</v>
      </c>
      <c r="G61" s="275">
        <f>$F$61/4</f>
        <v>1.5</v>
      </c>
      <c r="H61" s="275">
        <f t="shared" ref="H61:J61" si="21">$F$61/4</f>
        <v>1.5</v>
      </c>
      <c r="I61" s="275">
        <f t="shared" si="21"/>
        <v>1.5</v>
      </c>
      <c r="J61" s="275">
        <f t="shared" si="21"/>
        <v>1.5</v>
      </c>
    </row>
    <row r="62" spans="1:13" ht="40.5">
      <c r="A62" s="276" t="s">
        <v>691</v>
      </c>
      <c r="B62" s="129" t="s">
        <v>693</v>
      </c>
      <c r="C62" s="171">
        <v>0</v>
      </c>
      <c r="D62" s="171">
        <v>0</v>
      </c>
      <c r="E62" s="130">
        <v>0</v>
      </c>
      <c r="F62" s="275">
        <v>2.8</v>
      </c>
      <c r="G62" s="275">
        <f>$F$62/4</f>
        <v>0.7</v>
      </c>
      <c r="H62" s="275">
        <f t="shared" ref="H62:J62" si="22">$F$62/4</f>
        <v>0.7</v>
      </c>
      <c r="I62" s="275">
        <f t="shared" si="22"/>
        <v>0.7</v>
      </c>
      <c r="J62" s="275">
        <f t="shared" si="22"/>
        <v>0.7</v>
      </c>
    </row>
    <row r="63" spans="1:13" ht="20.25">
      <c r="A63" s="276" t="s">
        <v>695</v>
      </c>
      <c r="B63" s="129" t="s">
        <v>696</v>
      </c>
      <c r="C63" s="171">
        <v>0</v>
      </c>
      <c r="D63" s="171">
        <v>0</v>
      </c>
      <c r="E63" s="130">
        <v>0</v>
      </c>
      <c r="F63" s="275">
        <v>50</v>
      </c>
      <c r="G63" s="275">
        <f>$F$63/4</f>
        <v>12.5</v>
      </c>
      <c r="H63" s="275">
        <f t="shared" ref="H63:J63" si="23">$F$63/4</f>
        <v>12.5</v>
      </c>
      <c r="I63" s="275">
        <f t="shared" si="23"/>
        <v>12.5</v>
      </c>
      <c r="J63" s="275">
        <f t="shared" si="23"/>
        <v>12.5</v>
      </c>
    </row>
    <row r="64" spans="1:13" s="57" customFormat="1" ht="20.25">
      <c r="A64" s="249" t="s">
        <v>231</v>
      </c>
      <c r="B64" s="152">
        <v>1060</v>
      </c>
      <c r="C64" s="131">
        <f>C14-C20</f>
        <v>6509</v>
      </c>
      <c r="D64" s="167">
        <f t="shared" ref="D64:J64" si="24">D14-D20</f>
        <v>9428.2999999999956</v>
      </c>
      <c r="E64" s="167">
        <f t="shared" si="24"/>
        <v>9428.2999999999956</v>
      </c>
      <c r="F64" s="167">
        <f>ROUNDDOWN(SUM(G64:J64),1)</f>
        <v>9895.2000000000007</v>
      </c>
      <c r="G64" s="167">
        <f t="shared" si="24"/>
        <v>2473.8199999999997</v>
      </c>
      <c r="H64" s="167">
        <f t="shared" si="24"/>
        <v>2473.8199999999997</v>
      </c>
      <c r="I64" s="167">
        <f t="shared" si="24"/>
        <v>2473.8199999999997</v>
      </c>
      <c r="J64" s="167">
        <f t="shared" si="24"/>
        <v>2473.8199999999997</v>
      </c>
    </row>
    <row r="65" spans="1:13" ht="20.25">
      <c r="A65" s="249" t="s">
        <v>160</v>
      </c>
      <c r="B65" s="152">
        <v>1070</v>
      </c>
      <c r="C65" s="168">
        <v>1343</v>
      </c>
      <c r="D65" s="168">
        <f>SUM(D66:D68)</f>
        <v>1467</v>
      </c>
      <c r="E65" s="168">
        <f>SUM(E66:E68)</f>
        <v>1467</v>
      </c>
      <c r="F65" s="168">
        <f>SUM(F66:F68)</f>
        <v>1470</v>
      </c>
      <c r="G65" s="168">
        <f>SUM(G66:G68)</f>
        <v>367.5</v>
      </c>
      <c r="H65" s="168">
        <f t="shared" ref="H65:J65" si="25">SUM(H66:H68)</f>
        <v>367.5</v>
      </c>
      <c r="I65" s="168">
        <f t="shared" si="25"/>
        <v>367.5</v>
      </c>
      <c r="J65" s="168">
        <f t="shared" si="25"/>
        <v>367.5</v>
      </c>
      <c r="K65" s="168"/>
    </row>
    <row r="66" spans="1:13" ht="40.5">
      <c r="A66" s="153" t="s">
        <v>444</v>
      </c>
      <c r="B66" s="129">
        <v>1071</v>
      </c>
      <c r="C66" s="172">
        <f>1343-C67</f>
        <v>966.5</v>
      </c>
      <c r="D66" s="172">
        <v>1145.4000000000001</v>
      </c>
      <c r="E66" s="173">
        <v>1145.4000000000001</v>
      </c>
      <c r="F66" s="172">
        <v>1150</v>
      </c>
      <c r="G66" s="172">
        <f>F66/4</f>
        <v>287.5</v>
      </c>
      <c r="H66" s="172">
        <f>G66</f>
        <v>287.5</v>
      </c>
      <c r="I66" s="172">
        <f>G66</f>
        <v>287.5</v>
      </c>
      <c r="J66" s="172">
        <f>G66</f>
        <v>287.5</v>
      </c>
    </row>
    <row r="67" spans="1:13" ht="20.25">
      <c r="A67" s="166" t="s">
        <v>659</v>
      </c>
      <c r="B67" s="129">
        <v>1072</v>
      </c>
      <c r="C67" s="172">
        <v>376.5</v>
      </c>
      <c r="D67" s="172">
        <v>283.3</v>
      </c>
      <c r="E67" s="173">
        <v>283.3</v>
      </c>
      <c r="F67" s="172">
        <v>280</v>
      </c>
      <c r="G67" s="172">
        <f>$F$67/4</f>
        <v>70</v>
      </c>
      <c r="H67" s="172">
        <f>$F$67/4</f>
        <v>70</v>
      </c>
      <c r="I67" s="172">
        <f>$F$67/4</f>
        <v>70</v>
      </c>
      <c r="J67" s="172">
        <f>$F$67/4</f>
        <v>70</v>
      </c>
    </row>
    <row r="68" spans="1:13" ht="20.25">
      <c r="A68" s="166" t="s">
        <v>621</v>
      </c>
      <c r="B68" s="129">
        <v>1073</v>
      </c>
      <c r="C68" s="172">
        <v>0</v>
      </c>
      <c r="D68" s="172">
        <v>38.300000000000011</v>
      </c>
      <c r="E68" s="173">
        <v>38.300000000000011</v>
      </c>
      <c r="F68" s="172">
        <v>40</v>
      </c>
      <c r="G68" s="172">
        <f>$F$68/4</f>
        <v>10</v>
      </c>
      <c r="H68" s="172">
        <f t="shared" ref="H68:J68" si="26">$F$68/4</f>
        <v>10</v>
      </c>
      <c r="I68" s="172">
        <f t="shared" si="26"/>
        <v>10</v>
      </c>
      <c r="J68" s="172">
        <f t="shared" si="26"/>
        <v>10</v>
      </c>
    </row>
    <row r="69" spans="1:13" ht="20.25">
      <c r="A69" s="249" t="s">
        <v>167</v>
      </c>
      <c r="B69" s="152">
        <v>1080</v>
      </c>
      <c r="C69" s="131">
        <v>4278</v>
      </c>
      <c r="D69" s="131">
        <f t="shared" ref="D69:J69" si="27">SUM(D70:D91)</f>
        <v>5962.3000000000011</v>
      </c>
      <c r="E69" s="131">
        <f t="shared" si="27"/>
        <v>5962.3000000000011</v>
      </c>
      <c r="F69" s="131">
        <f t="shared" si="27"/>
        <v>6467.24</v>
      </c>
      <c r="G69" s="131">
        <f t="shared" si="27"/>
        <v>1683.31</v>
      </c>
      <c r="H69" s="131">
        <f t="shared" si="27"/>
        <v>1593.31</v>
      </c>
      <c r="I69" s="131">
        <f t="shared" si="27"/>
        <v>1595.31</v>
      </c>
      <c r="J69" s="131">
        <f t="shared" si="27"/>
        <v>1595.31</v>
      </c>
    </row>
    <row r="70" spans="1:13" ht="40.5">
      <c r="A70" s="153" t="s">
        <v>657</v>
      </c>
      <c r="B70" s="129">
        <v>1081</v>
      </c>
      <c r="C70" s="172">
        <v>73.5</v>
      </c>
      <c r="D70" s="130">
        <v>172.4</v>
      </c>
      <c r="E70" s="173">
        <v>172.4</v>
      </c>
      <c r="F70" s="130">
        <v>180</v>
      </c>
      <c r="G70" s="172">
        <f>F70/4</f>
        <v>45</v>
      </c>
      <c r="H70" s="172">
        <f>G70</f>
        <v>45</v>
      </c>
      <c r="I70" s="172">
        <f>G70</f>
        <v>45</v>
      </c>
      <c r="J70" s="172">
        <f>G70</f>
        <v>45</v>
      </c>
    </row>
    <row r="71" spans="1:13" ht="20.25">
      <c r="A71" s="153" t="s">
        <v>156</v>
      </c>
      <c r="B71" s="129">
        <v>1082</v>
      </c>
      <c r="C71" s="130">
        <v>0</v>
      </c>
      <c r="D71" s="130">
        <v>36</v>
      </c>
      <c r="E71" s="130">
        <v>36</v>
      </c>
      <c r="F71" s="130">
        <v>36</v>
      </c>
      <c r="G71" s="172">
        <f>F71/4</f>
        <v>9</v>
      </c>
      <c r="H71" s="172">
        <f>G71</f>
        <v>9</v>
      </c>
      <c r="I71" s="172">
        <f>G71</f>
        <v>9</v>
      </c>
      <c r="J71" s="172">
        <f>G71</f>
        <v>9</v>
      </c>
    </row>
    <row r="72" spans="1:13" ht="20.25">
      <c r="A72" s="153" t="s">
        <v>44</v>
      </c>
      <c r="B72" s="129">
        <v>1083</v>
      </c>
      <c r="C72" s="130">
        <v>0</v>
      </c>
      <c r="D72" s="130">
        <v>0</v>
      </c>
      <c r="E72" s="130">
        <v>0</v>
      </c>
      <c r="F72" s="130">
        <f>SUM(G72:J72)</f>
        <v>0</v>
      </c>
      <c r="G72" s="130">
        <v>0</v>
      </c>
      <c r="H72" s="130">
        <v>0</v>
      </c>
      <c r="I72" s="130">
        <v>0</v>
      </c>
      <c r="J72" s="130">
        <v>0</v>
      </c>
      <c r="M72" s="221">
        <f>F64+F65-F69-F101-F112</f>
        <v>1522.360000000001</v>
      </c>
    </row>
    <row r="73" spans="1:13" ht="20.25">
      <c r="A73" s="153" t="s">
        <v>7</v>
      </c>
      <c r="B73" s="129">
        <v>1084</v>
      </c>
      <c r="C73" s="130">
        <v>3.2</v>
      </c>
      <c r="D73" s="130">
        <v>2</v>
      </c>
      <c r="E73" s="130">
        <v>2</v>
      </c>
      <c r="F73" s="130">
        <v>5.2</v>
      </c>
      <c r="G73" s="172">
        <f t="shared" ref="G73:G79" si="28">F73/4</f>
        <v>1.3</v>
      </c>
      <c r="H73" s="172">
        <f t="shared" ref="H73:H79" si="29">G73</f>
        <v>1.3</v>
      </c>
      <c r="I73" s="172">
        <f t="shared" ref="I73:I79" si="30">G73</f>
        <v>1.3</v>
      </c>
      <c r="J73" s="172">
        <f t="shared" ref="J73:J79" si="31">G73</f>
        <v>1.3</v>
      </c>
    </row>
    <row r="74" spans="1:13" ht="20.25">
      <c r="A74" s="153" t="s">
        <v>8</v>
      </c>
      <c r="B74" s="129">
        <v>1085</v>
      </c>
      <c r="C74" s="172">
        <v>60.2</v>
      </c>
      <c r="D74" s="130">
        <v>65</v>
      </c>
      <c r="E74" s="173">
        <v>65</v>
      </c>
      <c r="F74" s="130">
        <v>90</v>
      </c>
      <c r="G74" s="172">
        <v>90</v>
      </c>
      <c r="H74" s="172">
        <v>0</v>
      </c>
      <c r="I74" s="172">
        <v>0</v>
      </c>
      <c r="J74" s="172">
        <v>0</v>
      </c>
    </row>
    <row r="75" spans="1:13" s="2" customFormat="1" ht="20.25">
      <c r="A75" s="153" t="s">
        <v>20</v>
      </c>
      <c r="B75" s="129">
        <v>1086</v>
      </c>
      <c r="C75" s="130">
        <v>15.2</v>
      </c>
      <c r="D75" s="130">
        <v>2.4</v>
      </c>
      <c r="E75" s="165">
        <v>2.4</v>
      </c>
      <c r="F75" s="130">
        <v>4</v>
      </c>
      <c r="G75" s="172">
        <v>0</v>
      </c>
      <c r="H75" s="172">
        <v>0</v>
      </c>
      <c r="I75" s="172">
        <v>2</v>
      </c>
      <c r="J75" s="172">
        <v>2</v>
      </c>
    </row>
    <row r="76" spans="1:13" s="2" customFormat="1" ht="20.25">
      <c r="A76" s="153" t="s">
        <v>21</v>
      </c>
      <c r="B76" s="129">
        <v>1087</v>
      </c>
      <c r="C76" s="130">
        <v>15.4</v>
      </c>
      <c r="D76" s="130">
        <v>13.2</v>
      </c>
      <c r="E76" s="165">
        <v>13.2</v>
      </c>
      <c r="F76" s="130">
        <v>12</v>
      </c>
      <c r="G76" s="172">
        <f t="shared" si="28"/>
        <v>3</v>
      </c>
      <c r="H76" s="172">
        <f t="shared" si="29"/>
        <v>3</v>
      </c>
      <c r="I76" s="172">
        <f t="shared" si="30"/>
        <v>3</v>
      </c>
      <c r="J76" s="172">
        <f t="shared" si="31"/>
        <v>3</v>
      </c>
    </row>
    <row r="77" spans="1:13" s="2" customFormat="1" ht="20.25">
      <c r="A77" s="153" t="s">
        <v>22</v>
      </c>
      <c r="B77" s="129">
        <v>1088</v>
      </c>
      <c r="C77" s="130">
        <v>2316</v>
      </c>
      <c r="D77" s="130">
        <v>2995.3</v>
      </c>
      <c r="E77" s="165">
        <v>2995.3</v>
      </c>
      <c r="F77" s="130">
        <v>3200</v>
      </c>
      <c r="G77" s="172">
        <f t="shared" si="28"/>
        <v>800</v>
      </c>
      <c r="H77" s="172">
        <f t="shared" si="29"/>
        <v>800</v>
      </c>
      <c r="I77" s="172">
        <f t="shared" si="30"/>
        <v>800</v>
      </c>
      <c r="J77" s="172">
        <f t="shared" si="31"/>
        <v>800</v>
      </c>
    </row>
    <row r="78" spans="1:13" s="2" customFormat="1" ht="20.25">
      <c r="A78" s="153" t="s">
        <v>23</v>
      </c>
      <c r="B78" s="129">
        <v>1089</v>
      </c>
      <c r="C78" s="130">
        <v>486.3</v>
      </c>
      <c r="D78" s="130">
        <v>682.3</v>
      </c>
      <c r="E78" s="165">
        <v>682.3</v>
      </c>
      <c r="F78" s="130">
        <v>704</v>
      </c>
      <c r="G78" s="172">
        <f t="shared" si="28"/>
        <v>176</v>
      </c>
      <c r="H78" s="172">
        <f t="shared" si="29"/>
        <v>176</v>
      </c>
      <c r="I78" s="172">
        <f t="shared" si="30"/>
        <v>176</v>
      </c>
      <c r="J78" s="172">
        <f t="shared" si="31"/>
        <v>176</v>
      </c>
    </row>
    <row r="79" spans="1:13" s="2" customFormat="1" ht="40.5">
      <c r="A79" s="153" t="s">
        <v>24</v>
      </c>
      <c r="B79" s="129">
        <v>1090</v>
      </c>
      <c r="C79" s="130">
        <v>43.6</v>
      </c>
      <c r="D79" s="130">
        <v>43</v>
      </c>
      <c r="E79" s="165">
        <v>43</v>
      </c>
      <c r="F79" s="130">
        <v>42</v>
      </c>
      <c r="G79" s="172">
        <f t="shared" si="28"/>
        <v>10.5</v>
      </c>
      <c r="H79" s="172">
        <f t="shared" si="29"/>
        <v>10.5</v>
      </c>
      <c r="I79" s="172">
        <f t="shared" si="30"/>
        <v>10.5</v>
      </c>
      <c r="J79" s="172">
        <f t="shared" si="31"/>
        <v>10.5</v>
      </c>
    </row>
    <row r="80" spans="1:13" s="2" customFormat="1" ht="40.5">
      <c r="A80" s="153" t="s">
        <v>25</v>
      </c>
      <c r="B80" s="129">
        <v>1091</v>
      </c>
      <c r="C80" s="130">
        <v>0</v>
      </c>
      <c r="D80" s="130" t="s">
        <v>453</v>
      </c>
      <c r="E80" s="174" t="s">
        <v>453</v>
      </c>
      <c r="F80" s="130">
        <f>SUM(G80:J80)</f>
        <v>0</v>
      </c>
      <c r="G80" s="130">
        <v>0</v>
      </c>
      <c r="H80" s="130">
        <v>0</v>
      </c>
      <c r="I80" s="130">
        <v>0</v>
      </c>
      <c r="J80" s="130">
        <v>0</v>
      </c>
    </row>
    <row r="81" spans="1:10" s="2" customFormat="1" ht="40.5">
      <c r="A81" s="153" t="s">
        <v>26</v>
      </c>
      <c r="B81" s="129">
        <v>1092</v>
      </c>
      <c r="C81" s="130">
        <v>0</v>
      </c>
      <c r="D81" s="130">
        <v>0</v>
      </c>
      <c r="E81" s="130">
        <v>0</v>
      </c>
      <c r="F81" s="130">
        <f>SUM(G81:J81)</f>
        <v>0</v>
      </c>
      <c r="G81" s="130">
        <v>0</v>
      </c>
      <c r="H81" s="130">
        <v>0</v>
      </c>
      <c r="I81" s="130">
        <v>0</v>
      </c>
      <c r="J81" s="130">
        <v>0</v>
      </c>
    </row>
    <row r="82" spans="1:10" s="2" customFormat="1" ht="20.25">
      <c r="A82" s="153" t="s">
        <v>27</v>
      </c>
      <c r="B82" s="129">
        <v>1093</v>
      </c>
      <c r="C82" s="130">
        <v>0</v>
      </c>
      <c r="D82" s="130">
        <v>0</v>
      </c>
      <c r="E82" s="130">
        <v>0</v>
      </c>
      <c r="F82" s="130">
        <f>SUM(G82:J82)</f>
        <v>0</v>
      </c>
      <c r="G82" s="130">
        <v>0</v>
      </c>
      <c r="H82" s="130">
        <v>0</v>
      </c>
      <c r="I82" s="130">
        <v>0</v>
      </c>
      <c r="J82" s="130">
        <v>0</v>
      </c>
    </row>
    <row r="83" spans="1:10" s="2" customFormat="1" ht="20.25">
      <c r="A83" s="153" t="s">
        <v>28</v>
      </c>
      <c r="B83" s="129">
        <v>1094</v>
      </c>
      <c r="C83" s="130">
        <v>42.8</v>
      </c>
      <c r="D83" s="130">
        <v>25</v>
      </c>
      <c r="E83" s="130">
        <v>25</v>
      </c>
      <c r="F83" s="130">
        <v>28</v>
      </c>
      <c r="G83" s="172">
        <f>F83/4</f>
        <v>7</v>
      </c>
      <c r="H83" s="172">
        <f>G83</f>
        <v>7</v>
      </c>
      <c r="I83" s="172">
        <f>G83</f>
        <v>7</v>
      </c>
      <c r="J83" s="172">
        <f>G83</f>
        <v>7</v>
      </c>
    </row>
    <row r="84" spans="1:10" s="2" customFormat="1" ht="20.25">
      <c r="A84" s="153" t="s">
        <v>48</v>
      </c>
      <c r="B84" s="129">
        <v>1095</v>
      </c>
      <c r="C84" s="130">
        <v>50</v>
      </c>
      <c r="D84" s="130">
        <v>94.5</v>
      </c>
      <c r="E84" s="165">
        <v>94.5</v>
      </c>
      <c r="F84" s="130">
        <f>100</f>
        <v>100</v>
      </c>
      <c r="G84" s="172">
        <f>F84/4</f>
        <v>25</v>
      </c>
      <c r="H84" s="172">
        <f>G84</f>
        <v>25</v>
      </c>
      <c r="I84" s="172">
        <f>G84</f>
        <v>25</v>
      </c>
      <c r="J84" s="172">
        <f>G84</f>
        <v>25</v>
      </c>
    </row>
    <row r="85" spans="1:10" s="2" customFormat="1" ht="20.25">
      <c r="A85" s="153" t="s">
        <v>562</v>
      </c>
      <c r="B85" s="129">
        <v>1096</v>
      </c>
      <c r="C85" s="130">
        <v>6</v>
      </c>
      <c r="D85" s="130">
        <v>15</v>
      </c>
      <c r="E85" s="130">
        <v>15</v>
      </c>
      <c r="F85" s="130">
        <v>16</v>
      </c>
      <c r="G85" s="172">
        <f>F85/4</f>
        <v>4</v>
      </c>
      <c r="H85" s="172">
        <f>G85</f>
        <v>4</v>
      </c>
      <c r="I85" s="172">
        <f>G85</f>
        <v>4</v>
      </c>
      <c r="J85" s="172">
        <f>G85</f>
        <v>4</v>
      </c>
    </row>
    <row r="86" spans="1:10" s="2" customFormat="1" ht="20.25">
      <c r="A86" s="153" t="s">
        <v>29</v>
      </c>
      <c r="B86" s="129">
        <v>1097</v>
      </c>
      <c r="C86" s="130">
        <v>18.600000000000001</v>
      </c>
      <c r="D86" s="130">
        <v>5.6</v>
      </c>
      <c r="E86" s="130">
        <v>5.6</v>
      </c>
      <c r="F86" s="130">
        <v>6</v>
      </c>
      <c r="G86" s="172">
        <f>F86/4</f>
        <v>1.5</v>
      </c>
      <c r="H86" s="172">
        <f>G86</f>
        <v>1.5</v>
      </c>
      <c r="I86" s="172">
        <f>G86</f>
        <v>1.5</v>
      </c>
      <c r="J86" s="172">
        <f>G86</f>
        <v>1.5</v>
      </c>
    </row>
    <row r="87" spans="1:10" s="2" customFormat="1" ht="20.25">
      <c r="A87" s="153" t="s">
        <v>30</v>
      </c>
      <c r="B87" s="129">
        <v>1098</v>
      </c>
      <c r="C87" s="130">
        <v>0</v>
      </c>
      <c r="D87" s="130">
        <v>0</v>
      </c>
      <c r="E87" s="130">
        <v>0</v>
      </c>
      <c r="F87" s="130">
        <v>0</v>
      </c>
      <c r="G87" s="172">
        <v>0</v>
      </c>
      <c r="H87" s="172">
        <v>0</v>
      </c>
      <c r="I87" s="172">
        <v>0</v>
      </c>
      <c r="J87" s="172">
        <v>0</v>
      </c>
    </row>
    <row r="88" spans="1:10" s="2" customFormat="1" ht="20.25">
      <c r="A88" s="153" t="s">
        <v>31</v>
      </c>
      <c r="B88" s="129">
        <v>1099</v>
      </c>
      <c r="C88" s="130">
        <v>7.5</v>
      </c>
      <c r="D88" s="130">
        <v>5</v>
      </c>
      <c r="E88" s="130">
        <v>5</v>
      </c>
      <c r="F88" s="130">
        <f>5020*2/1000</f>
        <v>10.039999999999999</v>
      </c>
      <c r="G88" s="172">
        <f>F88/4</f>
        <v>2.5099999999999998</v>
      </c>
      <c r="H88" s="172">
        <f>G88</f>
        <v>2.5099999999999998</v>
      </c>
      <c r="I88" s="172">
        <f>G88</f>
        <v>2.5099999999999998</v>
      </c>
      <c r="J88" s="172">
        <f>G88</f>
        <v>2.5099999999999998</v>
      </c>
    </row>
    <row r="89" spans="1:10" s="2" customFormat="1" ht="40.5">
      <c r="A89" s="153" t="s">
        <v>58</v>
      </c>
      <c r="B89" s="129">
        <v>1100</v>
      </c>
      <c r="C89" s="130">
        <v>0</v>
      </c>
      <c r="D89" s="130">
        <v>0</v>
      </c>
      <c r="E89" s="130">
        <v>0</v>
      </c>
      <c r="F89" s="130">
        <v>200</v>
      </c>
      <c r="G89" s="172">
        <f>F89/4</f>
        <v>50</v>
      </c>
      <c r="H89" s="172">
        <f>G89</f>
        <v>50</v>
      </c>
      <c r="I89" s="172">
        <f>G89</f>
        <v>50</v>
      </c>
      <c r="J89" s="172">
        <f>G89</f>
        <v>50</v>
      </c>
    </row>
    <row r="90" spans="1:10" s="2" customFormat="1" ht="20.25">
      <c r="A90" s="153" t="s">
        <v>32</v>
      </c>
      <c r="B90" s="129">
        <v>1101</v>
      </c>
      <c r="C90" s="130">
        <v>0</v>
      </c>
      <c r="D90" s="130">
        <v>0</v>
      </c>
      <c r="E90" s="130">
        <v>0</v>
      </c>
      <c r="F90" s="130">
        <v>0</v>
      </c>
      <c r="G90" s="172">
        <f>F90/4</f>
        <v>0</v>
      </c>
      <c r="H90" s="172">
        <f>G90</f>
        <v>0</v>
      </c>
      <c r="I90" s="172">
        <f>G90</f>
        <v>0</v>
      </c>
      <c r="J90" s="172">
        <f>G90</f>
        <v>0</v>
      </c>
    </row>
    <row r="91" spans="1:10" s="7" customFormat="1" ht="20.25">
      <c r="A91" s="249" t="s">
        <v>83</v>
      </c>
      <c r="B91" s="152">
        <v>1102</v>
      </c>
      <c r="C91" s="131">
        <f>SUM(C92:C100)</f>
        <v>1139.7</v>
      </c>
      <c r="D91" s="131">
        <f>SUM(D92:D100)</f>
        <v>1805.6000000000001</v>
      </c>
      <c r="E91" s="131">
        <f>SUM(E92:E100)</f>
        <v>1805.6000000000001</v>
      </c>
      <c r="F91" s="131">
        <f t="shared" ref="F91:J91" si="32">SUM(F92:F100)</f>
        <v>1834</v>
      </c>
      <c r="G91" s="131">
        <f t="shared" si="32"/>
        <v>458.5</v>
      </c>
      <c r="H91" s="131">
        <f t="shared" si="32"/>
        <v>458.5</v>
      </c>
      <c r="I91" s="131">
        <f t="shared" si="32"/>
        <v>458.5</v>
      </c>
      <c r="J91" s="131">
        <f t="shared" si="32"/>
        <v>458.5</v>
      </c>
    </row>
    <row r="92" spans="1:10" s="2" customFormat="1" ht="20.25">
      <c r="A92" s="153" t="s">
        <v>415</v>
      </c>
      <c r="B92" s="129" t="s">
        <v>414</v>
      </c>
      <c r="C92" s="130">
        <v>651.70000000000005</v>
      </c>
      <c r="D92" s="130">
        <v>998.8</v>
      </c>
      <c r="E92" s="165">
        <v>998.8</v>
      </c>
      <c r="F92" s="130">
        <v>1200</v>
      </c>
      <c r="G92" s="172">
        <f t="shared" ref="G92:G100" si="33">F92/4</f>
        <v>300</v>
      </c>
      <c r="H92" s="172">
        <f t="shared" ref="H92:H100" si="34">G92</f>
        <v>300</v>
      </c>
      <c r="I92" s="172">
        <f t="shared" ref="I92:I100" si="35">G92</f>
        <v>300</v>
      </c>
      <c r="J92" s="172">
        <f t="shared" ref="J92:J100" si="36">G92</f>
        <v>300</v>
      </c>
    </row>
    <row r="93" spans="1:10" s="2" customFormat="1" ht="20.25">
      <c r="A93" s="153" t="s">
        <v>455</v>
      </c>
      <c r="B93" s="129" t="s">
        <v>417</v>
      </c>
      <c r="C93" s="130">
        <v>8</v>
      </c>
      <c r="D93" s="130">
        <v>5.6</v>
      </c>
      <c r="E93" s="165">
        <v>5.6</v>
      </c>
      <c r="F93" s="130">
        <v>6</v>
      </c>
      <c r="G93" s="172">
        <f t="shared" si="33"/>
        <v>1.5</v>
      </c>
      <c r="H93" s="172">
        <f t="shared" si="34"/>
        <v>1.5</v>
      </c>
      <c r="I93" s="172">
        <f t="shared" si="35"/>
        <v>1.5</v>
      </c>
      <c r="J93" s="172">
        <f t="shared" si="36"/>
        <v>1.5</v>
      </c>
    </row>
    <row r="94" spans="1:10" s="2" customFormat="1" ht="20.25">
      <c r="A94" s="153" t="s">
        <v>416</v>
      </c>
      <c r="B94" s="129" t="s">
        <v>418</v>
      </c>
      <c r="C94" s="130">
        <v>51</v>
      </c>
      <c r="D94" s="130">
        <v>47</v>
      </c>
      <c r="E94" s="165">
        <v>47</v>
      </c>
      <c r="F94" s="130">
        <v>72</v>
      </c>
      <c r="G94" s="172">
        <f t="shared" si="33"/>
        <v>18</v>
      </c>
      <c r="H94" s="172">
        <f t="shared" si="34"/>
        <v>18</v>
      </c>
      <c r="I94" s="172">
        <f t="shared" si="35"/>
        <v>18</v>
      </c>
      <c r="J94" s="172">
        <f t="shared" si="36"/>
        <v>18</v>
      </c>
    </row>
    <row r="95" spans="1:10" s="2" customFormat="1" ht="20.25">
      <c r="A95" s="153" t="s">
        <v>46</v>
      </c>
      <c r="B95" s="129" t="s">
        <v>420</v>
      </c>
      <c r="C95" s="130">
        <v>19</v>
      </c>
      <c r="D95" s="130">
        <v>25.299999999999997</v>
      </c>
      <c r="E95" s="165">
        <v>25.299999999999997</v>
      </c>
      <c r="F95" s="130">
        <v>28</v>
      </c>
      <c r="G95" s="172">
        <f t="shared" si="33"/>
        <v>7</v>
      </c>
      <c r="H95" s="172">
        <f t="shared" si="34"/>
        <v>7</v>
      </c>
      <c r="I95" s="172">
        <f t="shared" si="35"/>
        <v>7</v>
      </c>
      <c r="J95" s="172">
        <f t="shared" si="36"/>
        <v>7</v>
      </c>
    </row>
    <row r="96" spans="1:10" s="2" customFormat="1" ht="20.25">
      <c r="A96" s="153" t="s">
        <v>419</v>
      </c>
      <c r="B96" s="129" t="s">
        <v>421</v>
      </c>
      <c r="C96" s="130">
        <v>19</v>
      </c>
      <c r="D96" s="130">
        <v>13.399999999999999</v>
      </c>
      <c r="E96" s="165">
        <v>13.399999999999999</v>
      </c>
      <c r="F96" s="130">
        <v>18</v>
      </c>
      <c r="G96" s="172">
        <f t="shared" si="33"/>
        <v>4.5</v>
      </c>
      <c r="H96" s="172">
        <f t="shared" si="34"/>
        <v>4.5</v>
      </c>
      <c r="I96" s="172">
        <f t="shared" si="35"/>
        <v>4.5</v>
      </c>
      <c r="J96" s="172">
        <f t="shared" si="36"/>
        <v>4.5</v>
      </c>
    </row>
    <row r="97" spans="1:10" s="2" customFormat="1" ht="20.25">
      <c r="A97" s="153" t="s">
        <v>558</v>
      </c>
      <c r="B97" s="129" t="s">
        <v>422</v>
      </c>
      <c r="C97" s="130">
        <v>49</v>
      </c>
      <c r="D97" s="130">
        <v>20</v>
      </c>
      <c r="E97" s="165">
        <v>20</v>
      </c>
      <c r="F97" s="130">
        <v>30</v>
      </c>
      <c r="G97" s="172">
        <f t="shared" si="33"/>
        <v>7.5</v>
      </c>
      <c r="H97" s="172">
        <f t="shared" si="34"/>
        <v>7.5</v>
      </c>
      <c r="I97" s="172">
        <f t="shared" si="35"/>
        <v>7.5</v>
      </c>
      <c r="J97" s="172">
        <f t="shared" si="36"/>
        <v>7.5</v>
      </c>
    </row>
    <row r="98" spans="1:10" s="2" customFormat="1" ht="40.5">
      <c r="A98" s="153" t="s">
        <v>456</v>
      </c>
      <c r="B98" s="129" t="s">
        <v>423</v>
      </c>
      <c r="C98" s="130">
        <v>18</v>
      </c>
      <c r="D98" s="130">
        <v>24.6</v>
      </c>
      <c r="E98" s="165">
        <v>24.6</v>
      </c>
      <c r="F98" s="130">
        <v>30</v>
      </c>
      <c r="G98" s="172">
        <f t="shared" si="33"/>
        <v>7.5</v>
      </c>
      <c r="H98" s="172">
        <f t="shared" si="34"/>
        <v>7.5</v>
      </c>
      <c r="I98" s="172">
        <f t="shared" si="35"/>
        <v>7.5</v>
      </c>
      <c r="J98" s="172">
        <f t="shared" si="36"/>
        <v>7.5</v>
      </c>
    </row>
    <row r="99" spans="1:10" s="2" customFormat="1" ht="20.25">
      <c r="A99" s="153" t="s">
        <v>572</v>
      </c>
      <c r="B99" s="129" t="s">
        <v>454</v>
      </c>
      <c r="C99" s="130">
        <v>195</v>
      </c>
      <c r="D99" s="130">
        <v>306.7</v>
      </c>
      <c r="E99" s="165">
        <v>306.7</v>
      </c>
      <c r="F99" s="130">
        <v>350</v>
      </c>
      <c r="G99" s="172">
        <f t="shared" si="33"/>
        <v>87.5</v>
      </c>
      <c r="H99" s="172">
        <f t="shared" si="34"/>
        <v>87.5</v>
      </c>
      <c r="I99" s="172">
        <f t="shared" si="35"/>
        <v>87.5</v>
      </c>
      <c r="J99" s="172">
        <f t="shared" si="36"/>
        <v>87.5</v>
      </c>
    </row>
    <row r="100" spans="1:10" s="2" customFormat="1" ht="20.25">
      <c r="A100" s="153" t="s">
        <v>459</v>
      </c>
      <c r="B100" s="129" t="s">
        <v>571</v>
      </c>
      <c r="C100" s="130">
        <v>129</v>
      </c>
      <c r="D100" s="130">
        <v>364.2</v>
      </c>
      <c r="E100" s="130">
        <v>364.2</v>
      </c>
      <c r="F100" s="130">
        <v>100</v>
      </c>
      <c r="G100" s="172">
        <f t="shared" si="33"/>
        <v>25</v>
      </c>
      <c r="H100" s="172">
        <f t="shared" si="34"/>
        <v>25</v>
      </c>
      <c r="I100" s="172">
        <f t="shared" si="35"/>
        <v>25</v>
      </c>
      <c r="J100" s="172">
        <f t="shared" si="36"/>
        <v>25</v>
      </c>
    </row>
    <row r="101" spans="1:10" ht="20.25">
      <c r="A101" s="249" t="s">
        <v>168</v>
      </c>
      <c r="B101" s="152">
        <v>1110</v>
      </c>
      <c r="C101" s="167">
        <v>1817</v>
      </c>
      <c r="D101" s="167">
        <f t="shared" ref="D101:J101" si="37">SUM(D102:D111)</f>
        <v>2749.2</v>
      </c>
      <c r="E101" s="167">
        <f t="shared" si="37"/>
        <v>2749.2</v>
      </c>
      <c r="F101" s="167">
        <f t="shared" si="37"/>
        <v>3126</v>
      </c>
      <c r="G101" s="131">
        <f t="shared" si="37"/>
        <v>781.5</v>
      </c>
      <c r="H101" s="131">
        <f t="shared" si="37"/>
        <v>781.5</v>
      </c>
      <c r="I101" s="131">
        <f t="shared" si="37"/>
        <v>781.5</v>
      </c>
      <c r="J101" s="131">
        <f t="shared" si="37"/>
        <v>781.5</v>
      </c>
    </row>
    <row r="102" spans="1:10" s="2" customFormat="1" ht="20.25">
      <c r="A102" s="153" t="s">
        <v>137</v>
      </c>
      <c r="B102" s="129">
        <v>1111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</row>
    <row r="103" spans="1:10" s="2" customFormat="1" ht="20.25">
      <c r="A103" s="153" t="s">
        <v>138</v>
      </c>
      <c r="B103" s="129">
        <v>1112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</row>
    <row r="104" spans="1:10" s="2" customFormat="1" ht="20.25">
      <c r="A104" s="153" t="s">
        <v>22</v>
      </c>
      <c r="B104" s="129">
        <v>1113</v>
      </c>
      <c r="C104" s="130">
        <v>1213.3</v>
      </c>
      <c r="D104" s="130">
        <v>1943.6</v>
      </c>
      <c r="E104" s="165">
        <v>1943.6</v>
      </c>
      <c r="F104" s="130">
        <v>2100</v>
      </c>
      <c r="G104" s="172">
        <f t="shared" ref="G104:G111" si="38">F104/4</f>
        <v>525</v>
      </c>
      <c r="H104" s="172">
        <f t="shared" ref="H104:H111" si="39">G104</f>
        <v>525</v>
      </c>
      <c r="I104" s="172">
        <f t="shared" ref="I104:I111" si="40">G104</f>
        <v>525</v>
      </c>
      <c r="J104" s="172">
        <f t="shared" ref="J104:J111" si="41">G104</f>
        <v>525</v>
      </c>
    </row>
    <row r="105" spans="1:10" s="2" customFormat="1" ht="20.25">
      <c r="A105" s="153" t="s">
        <v>45</v>
      </c>
      <c r="B105" s="129">
        <v>1114</v>
      </c>
      <c r="C105" s="130">
        <v>10.6</v>
      </c>
      <c r="D105" s="130">
        <v>100.2</v>
      </c>
      <c r="E105" s="130">
        <v>100.2</v>
      </c>
      <c r="F105" s="130">
        <v>120</v>
      </c>
      <c r="G105" s="172">
        <f t="shared" si="38"/>
        <v>30</v>
      </c>
      <c r="H105" s="172">
        <f t="shared" si="39"/>
        <v>30</v>
      </c>
      <c r="I105" s="172">
        <f t="shared" si="40"/>
        <v>30</v>
      </c>
      <c r="J105" s="172">
        <f t="shared" si="41"/>
        <v>30</v>
      </c>
    </row>
    <row r="106" spans="1:10" s="2" customFormat="1" ht="20.25">
      <c r="A106" s="153" t="s">
        <v>574</v>
      </c>
      <c r="B106" s="129">
        <v>1115</v>
      </c>
      <c r="C106" s="130">
        <v>7.1</v>
      </c>
      <c r="D106" s="130">
        <v>0</v>
      </c>
      <c r="E106" s="165">
        <v>0</v>
      </c>
      <c r="F106" s="130">
        <v>26</v>
      </c>
      <c r="G106" s="172">
        <f t="shared" si="38"/>
        <v>6.5</v>
      </c>
      <c r="H106" s="172">
        <f t="shared" si="39"/>
        <v>6.5</v>
      </c>
      <c r="I106" s="172">
        <f t="shared" si="40"/>
        <v>6.5</v>
      </c>
      <c r="J106" s="172">
        <f t="shared" si="41"/>
        <v>6.5</v>
      </c>
    </row>
    <row r="107" spans="1:10" s="2" customFormat="1" ht="20.25">
      <c r="A107" s="153" t="s">
        <v>559</v>
      </c>
      <c r="B107" s="129">
        <v>1116</v>
      </c>
      <c r="C107" s="130">
        <v>264</v>
      </c>
      <c r="D107" s="130">
        <v>439.6</v>
      </c>
      <c r="E107" s="165">
        <v>439.6</v>
      </c>
      <c r="F107" s="130">
        <v>462</v>
      </c>
      <c r="G107" s="172">
        <f t="shared" si="38"/>
        <v>115.5</v>
      </c>
      <c r="H107" s="172">
        <f t="shared" si="39"/>
        <v>115.5</v>
      </c>
      <c r="I107" s="172">
        <f t="shared" si="40"/>
        <v>115.5</v>
      </c>
      <c r="J107" s="172">
        <f t="shared" si="41"/>
        <v>115.5</v>
      </c>
    </row>
    <row r="108" spans="1:10" s="2" customFormat="1" ht="20.25">
      <c r="A108" s="153" t="s">
        <v>424</v>
      </c>
      <c r="B108" s="129">
        <v>1117</v>
      </c>
      <c r="C108" s="130">
        <v>29</v>
      </c>
      <c r="D108" s="130">
        <v>42</v>
      </c>
      <c r="E108" s="165">
        <v>42</v>
      </c>
      <c r="F108" s="130">
        <v>44</v>
      </c>
      <c r="G108" s="172">
        <f t="shared" si="38"/>
        <v>11</v>
      </c>
      <c r="H108" s="172">
        <f t="shared" si="39"/>
        <v>11</v>
      </c>
      <c r="I108" s="172">
        <f t="shared" si="40"/>
        <v>11</v>
      </c>
      <c r="J108" s="172">
        <f t="shared" si="41"/>
        <v>11</v>
      </c>
    </row>
    <row r="109" spans="1:10" s="2" customFormat="1" ht="20.25">
      <c r="A109" s="157" t="s">
        <v>425</v>
      </c>
      <c r="B109" s="129">
        <v>1118</v>
      </c>
      <c r="C109" s="175">
        <v>131.5</v>
      </c>
      <c r="D109" s="130">
        <v>34.9</v>
      </c>
      <c r="E109" s="165">
        <v>34.9</v>
      </c>
      <c r="F109" s="130">
        <v>8</v>
      </c>
      <c r="G109" s="172">
        <f t="shared" si="38"/>
        <v>2</v>
      </c>
      <c r="H109" s="172">
        <f t="shared" si="39"/>
        <v>2</v>
      </c>
      <c r="I109" s="172">
        <f t="shared" si="40"/>
        <v>2</v>
      </c>
      <c r="J109" s="172">
        <f t="shared" si="41"/>
        <v>2</v>
      </c>
    </row>
    <row r="110" spans="1:10" s="2" customFormat="1" ht="40.5">
      <c r="A110" s="176" t="s">
        <v>573</v>
      </c>
      <c r="B110" s="129">
        <v>1119</v>
      </c>
      <c r="C110" s="175">
        <v>28.300000000000011</v>
      </c>
      <c r="D110" s="175">
        <v>41.7</v>
      </c>
      <c r="E110" s="175">
        <v>41.7</v>
      </c>
      <c r="F110" s="130">
        <v>46</v>
      </c>
      <c r="G110" s="172">
        <f t="shared" si="38"/>
        <v>11.5</v>
      </c>
      <c r="H110" s="172">
        <f t="shared" si="39"/>
        <v>11.5</v>
      </c>
      <c r="I110" s="172">
        <f t="shared" si="40"/>
        <v>11.5</v>
      </c>
      <c r="J110" s="172">
        <f t="shared" si="41"/>
        <v>11.5</v>
      </c>
    </row>
    <row r="111" spans="1:10" s="2" customFormat="1" ht="20.25">
      <c r="A111" s="153" t="s">
        <v>572</v>
      </c>
      <c r="B111" s="129">
        <v>1120</v>
      </c>
      <c r="C111" s="175">
        <v>133.19999999999999</v>
      </c>
      <c r="D111" s="175">
        <v>147.19999999999999</v>
      </c>
      <c r="E111" s="175">
        <v>147.19999999999999</v>
      </c>
      <c r="F111" s="130">
        <v>320</v>
      </c>
      <c r="G111" s="172">
        <f t="shared" si="38"/>
        <v>80</v>
      </c>
      <c r="H111" s="172">
        <f t="shared" si="39"/>
        <v>80</v>
      </c>
      <c r="I111" s="172">
        <f t="shared" si="40"/>
        <v>80</v>
      </c>
      <c r="J111" s="172">
        <f t="shared" si="41"/>
        <v>80</v>
      </c>
    </row>
    <row r="112" spans="1:10" s="2" customFormat="1" ht="20.25">
      <c r="A112" s="177" t="s">
        <v>61</v>
      </c>
      <c r="B112" s="152">
        <v>1120</v>
      </c>
      <c r="C112" s="131">
        <v>199</v>
      </c>
      <c r="D112" s="131">
        <f t="shared" ref="D112:J112" si="42">SUM(D113:D117)</f>
        <v>105.4</v>
      </c>
      <c r="E112" s="131">
        <f t="shared" si="42"/>
        <v>105.4</v>
      </c>
      <c r="F112" s="131">
        <f t="shared" si="42"/>
        <v>249.6</v>
      </c>
      <c r="G112" s="131">
        <f t="shared" si="42"/>
        <v>62.4</v>
      </c>
      <c r="H112" s="131">
        <f t="shared" si="42"/>
        <v>62.4</v>
      </c>
      <c r="I112" s="131">
        <f t="shared" si="42"/>
        <v>62.4</v>
      </c>
      <c r="J112" s="131">
        <f t="shared" si="42"/>
        <v>62.4</v>
      </c>
    </row>
    <row r="113" spans="1:10" s="2" customFormat="1" ht="20.25">
      <c r="A113" s="153" t="s">
        <v>52</v>
      </c>
      <c r="B113" s="129">
        <v>1121</v>
      </c>
      <c r="C113" s="130">
        <v>2.5</v>
      </c>
      <c r="D113" s="130">
        <v>22.5</v>
      </c>
      <c r="E113" s="130">
        <v>22.5</v>
      </c>
      <c r="F113" s="130">
        <v>10</v>
      </c>
      <c r="G113" s="172">
        <f>F113/4</f>
        <v>2.5</v>
      </c>
      <c r="H113" s="172">
        <f>G113</f>
        <v>2.5</v>
      </c>
      <c r="I113" s="172">
        <f>G113</f>
        <v>2.5</v>
      </c>
      <c r="J113" s="172">
        <f>G113</f>
        <v>2.5</v>
      </c>
    </row>
    <row r="114" spans="1:10" s="2" customFormat="1" ht="20.25">
      <c r="A114" s="153" t="s">
        <v>33</v>
      </c>
      <c r="B114" s="129">
        <v>1122</v>
      </c>
      <c r="C114" s="130">
        <v>0</v>
      </c>
      <c r="D114" s="130">
        <v>0</v>
      </c>
      <c r="E114" s="130">
        <v>0</v>
      </c>
      <c r="F114" s="130">
        <f>SUM(G114:J114)</f>
        <v>0</v>
      </c>
      <c r="G114" s="130">
        <v>0</v>
      </c>
      <c r="H114" s="130">
        <v>0</v>
      </c>
      <c r="I114" s="130">
        <v>0</v>
      </c>
      <c r="J114" s="130">
        <v>0</v>
      </c>
    </row>
    <row r="115" spans="1:10" s="2" customFormat="1" ht="20.25">
      <c r="A115" s="153" t="s">
        <v>43</v>
      </c>
      <c r="B115" s="129">
        <v>1123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</row>
    <row r="116" spans="1:10" s="2" customFormat="1" ht="20.25">
      <c r="A116" s="153" t="s">
        <v>161</v>
      </c>
      <c r="B116" s="129">
        <v>1124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</row>
    <row r="117" spans="1:10" s="2" customFormat="1" ht="20.25">
      <c r="A117" s="153" t="s">
        <v>177</v>
      </c>
      <c r="B117" s="129">
        <v>1125</v>
      </c>
      <c r="C117" s="131">
        <v>196.5</v>
      </c>
      <c r="D117" s="131">
        <v>82.9</v>
      </c>
      <c r="E117" s="131">
        <f>SUM(E118:E125)</f>
        <v>82.9</v>
      </c>
      <c r="F117" s="131">
        <f>SUM(F118:F125)</f>
        <v>239.6</v>
      </c>
      <c r="G117" s="131">
        <f t="shared" ref="G117:J117" si="43">SUM(G118:G125)</f>
        <v>59.9</v>
      </c>
      <c r="H117" s="131">
        <f t="shared" si="43"/>
        <v>59.9</v>
      </c>
      <c r="I117" s="131">
        <f t="shared" si="43"/>
        <v>59.9</v>
      </c>
      <c r="J117" s="131">
        <f t="shared" si="43"/>
        <v>59.9</v>
      </c>
    </row>
    <row r="118" spans="1:10" s="2" customFormat="1" ht="20.25">
      <c r="A118" s="166" t="s">
        <v>457</v>
      </c>
      <c r="B118" s="178" t="s">
        <v>426</v>
      </c>
      <c r="C118" s="130">
        <v>4</v>
      </c>
      <c r="D118" s="130">
        <v>3.2</v>
      </c>
      <c r="E118" s="165">
        <v>3.2</v>
      </c>
      <c r="F118" s="130">
        <v>4</v>
      </c>
      <c r="G118" s="172">
        <f>F118/4</f>
        <v>1</v>
      </c>
      <c r="H118" s="172">
        <f>G118</f>
        <v>1</v>
      </c>
      <c r="I118" s="172">
        <f>G118</f>
        <v>1</v>
      </c>
      <c r="J118" s="172">
        <f>G118</f>
        <v>1</v>
      </c>
    </row>
    <row r="119" spans="1:10" s="2" customFormat="1" ht="20.25">
      <c r="A119" s="166" t="s">
        <v>412</v>
      </c>
      <c r="B119" s="178" t="s">
        <v>427</v>
      </c>
      <c r="C119" s="130">
        <v>10.8</v>
      </c>
      <c r="D119" s="130">
        <v>6</v>
      </c>
      <c r="E119" s="165">
        <v>6</v>
      </c>
      <c r="F119" s="130">
        <v>6</v>
      </c>
      <c r="G119" s="172">
        <f>F119/4</f>
        <v>1.5</v>
      </c>
      <c r="H119" s="172">
        <f>G119</f>
        <v>1.5</v>
      </c>
      <c r="I119" s="172">
        <f>G119</f>
        <v>1.5</v>
      </c>
      <c r="J119" s="172">
        <f>G119</f>
        <v>1.5</v>
      </c>
    </row>
    <row r="120" spans="1:10" s="2" customFormat="1" ht="20.25">
      <c r="A120" s="166" t="s">
        <v>428</v>
      </c>
      <c r="B120" s="178" t="s">
        <v>429</v>
      </c>
      <c r="C120" s="130">
        <v>0</v>
      </c>
      <c r="D120" s="130">
        <v>6.7</v>
      </c>
      <c r="E120" s="130">
        <v>6.7</v>
      </c>
      <c r="F120" s="130">
        <v>8</v>
      </c>
      <c r="G120" s="130">
        <f>$F$120/4</f>
        <v>2</v>
      </c>
      <c r="H120" s="130">
        <f>$F$120/4</f>
        <v>2</v>
      </c>
      <c r="I120" s="130">
        <f>$F$120/4</f>
        <v>2</v>
      </c>
      <c r="J120" s="130">
        <f>$F$120/4</f>
        <v>2</v>
      </c>
    </row>
    <row r="121" spans="1:10" s="2" customFormat="1" ht="20.25">
      <c r="A121" s="166" t="s">
        <v>430</v>
      </c>
      <c r="B121" s="178" t="s">
        <v>431</v>
      </c>
      <c r="C121" s="130">
        <v>10.3</v>
      </c>
      <c r="D121" s="130">
        <v>12.7</v>
      </c>
      <c r="E121" s="165">
        <v>12.7</v>
      </c>
      <c r="F121" s="130">
        <v>14</v>
      </c>
      <c r="G121" s="172">
        <f>F121/4</f>
        <v>3.5</v>
      </c>
      <c r="H121" s="172">
        <f>G121</f>
        <v>3.5</v>
      </c>
      <c r="I121" s="172">
        <f>G121</f>
        <v>3.5</v>
      </c>
      <c r="J121" s="172">
        <f>G121</f>
        <v>3.5</v>
      </c>
    </row>
    <row r="122" spans="1:10" s="2" customFormat="1" ht="40.5">
      <c r="A122" s="166" t="s">
        <v>445</v>
      </c>
      <c r="B122" s="178" t="s">
        <v>432</v>
      </c>
      <c r="C122" s="130">
        <v>19.2</v>
      </c>
      <c r="D122" s="130">
        <v>32.700000000000003</v>
      </c>
      <c r="E122" s="165">
        <v>32.700000000000003</v>
      </c>
      <c r="F122" s="130">
        <v>36</v>
      </c>
      <c r="G122" s="172">
        <f>F122/4</f>
        <v>9</v>
      </c>
      <c r="H122" s="172">
        <f>G122</f>
        <v>9</v>
      </c>
      <c r="I122" s="172">
        <f>G122</f>
        <v>9</v>
      </c>
      <c r="J122" s="172">
        <f>G122</f>
        <v>9</v>
      </c>
    </row>
    <row r="123" spans="1:10" s="2" customFormat="1" ht="20.25">
      <c r="A123" s="166" t="s">
        <v>433</v>
      </c>
      <c r="B123" s="178" t="s">
        <v>434</v>
      </c>
      <c r="C123" s="130">
        <v>34.200000000000003</v>
      </c>
      <c r="D123" s="130">
        <v>21.6</v>
      </c>
      <c r="E123" s="165">
        <v>21.6</v>
      </c>
      <c r="F123" s="130">
        <v>21.6</v>
      </c>
      <c r="G123" s="172">
        <f>F123/4</f>
        <v>5.4</v>
      </c>
      <c r="H123" s="172">
        <f>G123</f>
        <v>5.4</v>
      </c>
      <c r="I123" s="172">
        <f>G123</f>
        <v>5.4</v>
      </c>
      <c r="J123" s="172">
        <f>G123</f>
        <v>5.4</v>
      </c>
    </row>
    <row r="124" spans="1:10" s="2" customFormat="1" ht="20.25">
      <c r="A124" s="166" t="s">
        <v>632</v>
      </c>
      <c r="B124" s="178" t="s">
        <v>622</v>
      </c>
      <c r="C124" s="130">
        <v>118</v>
      </c>
      <c r="D124" s="130">
        <v>0</v>
      </c>
      <c r="E124" s="165">
        <v>0</v>
      </c>
      <c r="F124" s="130">
        <v>150</v>
      </c>
      <c r="G124" s="172">
        <f>F124/4</f>
        <v>37.5</v>
      </c>
      <c r="H124" s="172">
        <f>G124</f>
        <v>37.5</v>
      </c>
      <c r="I124" s="172">
        <f>G124</f>
        <v>37.5</v>
      </c>
      <c r="J124" s="172">
        <f>G124</f>
        <v>37.5</v>
      </c>
    </row>
    <row r="125" spans="1:10" s="2" customFormat="1" ht="20.25">
      <c r="A125" s="166" t="s">
        <v>621</v>
      </c>
      <c r="B125" s="178" t="s">
        <v>633</v>
      </c>
      <c r="C125" s="130">
        <v>0</v>
      </c>
      <c r="D125" s="130">
        <v>0</v>
      </c>
      <c r="E125" s="165">
        <v>0</v>
      </c>
      <c r="F125" s="130">
        <v>0</v>
      </c>
      <c r="G125" s="172">
        <v>0</v>
      </c>
      <c r="H125" s="172">
        <v>0</v>
      </c>
      <c r="I125" s="172">
        <v>0</v>
      </c>
      <c r="J125" s="172">
        <v>0</v>
      </c>
    </row>
    <row r="126" spans="1:10" s="57" customFormat="1" ht="40.5">
      <c r="A126" s="249" t="s">
        <v>232</v>
      </c>
      <c r="B126" s="179">
        <v>1130</v>
      </c>
      <c r="C126" s="131">
        <v>1558</v>
      </c>
      <c r="D126" s="131">
        <f t="shared" ref="D126:J126" si="44">D64+D65-D69-D101-D112</f>
        <v>2078.3999999999946</v>
      </c>
      <c r="E126" s="131">
        <f t="shared" si="44"/>
        <v>2078.3999999999946</v>
      </c>
      <c r="F126" s="131">
        <f t="shared" si="44"/>
        <v>1522.360000000001</v>
      </c>
      <c r="G126" s="131">
        <f t="shared" si="44"/>
        <v>314.10999999999979</v>
      </c>
      <c r="H126" s="131">
        <f t="shared" si="44"/>
        <v>404.10999999999979</v>
      </c>
      <c r="I126" s="131">
        <f t="shared" si="44"/>
        <v>402.10999999999979</v>
      </c>
      <c r="J126" s="131">
        <f t="shared" si="44"/>
        <v>402.10999999999979</v>
      </c>
    </row>
    <row r="127" spans="1:10" ht="20.25">
      <c r="A127" s="249" t="s">
        <v>82</v>
      </c>
      <c r="B127" s="152">
        <v>1140</v>
      </c>
      <c r="C127" s="168">
        <v>3</v>
      </c>
      <c r="D127" s="131">
        <v>0</v>
      </c>
      <c r="E127" s="168">
        <v>0</v>
      </c>
      <c r="F127" s="131">
        <v>10</v>
      </c>
      <c r="G127" s="130">
        <f>F127/4</f>
        <v>2.5</v>
      </c>
      <c r="H127" s="130">
        <f>G127</f>
        <v>2.5</v>
      </c>
      <c r="I127" s="130">
        <f>G127</f>
        <v>2.5</v>
      </c>
      <c r="J127" s="130">
        <f>G127</f>
        <v>2.5</v>
      </c>
    </row>
    <row r="128" spans="1:10" ht="20.25">
      <c r="A128" s="249" t="s">
        <v>435</v>
      </c>
      <c r="B128" s="152">
        <v>1150</v>
      </c>
      <c r="C128" s="131">
        <v>50</v>
      </c>
      <c r="D128" s="131">
        <v>62</v>
      </c>
      <c r="E128" s="131">
        <v>62</v>
      </c>
      <c r="F128" s="131">
        <v>10</v>
      </c>
      <c r="G128" s="131">
        <f>$F$128/4</f>
        <v>2.5</v>
      </c>
      <c r="H128" s="131">
        <f>$F$128/4</f>
        <v>2.5</v>
      </c>
      <c r="I128" s="131">
        <f>$F$128/4</f>
        <v>2.5</v>
      </c>
      <c r="J128" s="131">
        <f>$F$128/4</f>
        <v>2.5</v>
      </c>
    </row>
    <row r="129" spans="1:10" ht="20.25">
      <c r="A129" s="249" t="s">
        <v>162</v>
      </c>
      <c r="B129" s="152">
        <v>1160</v>
      </c>
      <c r="C129" s="168">
        <v>519</v>
      </c>
      <c r="D129" s="131">
        <v>328</v>
      </c>
      <c r="E129" s="180">
        <v>328</v>
      </c>
      <c r="F129" s="131">
        <v>328</v>
      </c>
      <c r="G129" s="130">
        <f>F129/4</f>
        <v>82</v>
      </c>
      <c r="H129" s="130">
        <f>G129</f>
        <v>82</v>
      </c>
      <c r="I129" s="130">
        <f>G129</f>
        <v>82</v>
      </c>
      <c r="J129" s="130">
        <f>G129</f>
        <v>82</v>
      </c>
    </row>
    <row r="130" spans="1:10" ht="20.25">
      <c r="A130" s="153" t="s">
        <v>436</v>
      </c>
      <c r="B130" s="129">
        <v>1161</v>
      </c>
      <c r="C130" s="172">
        <v>519</v>
      </c>
      <c r="D130" s="130">
        <v>328</v>
      </c>
      <c r="E130" s="181">
        <v>328</v>
      </c>
      <c r="F130" s="130">
        <v>328</v>
      </c>
      <c r="G130" s="130">
        <v>82</v>
      </c>
      <c r="H130" s="130">
        <v>82</v>
      </c>
      <c r="I130" s="130">
        <v>82</v>
      </c>
      <c r="J130" s="130">
        <v>82</v>
      </c>
    </row>
    <row r="131" spans="1:10" ht="20.25">
      <c r="A131" s="249" t="s">
        <v>163</v>
      </c>
      <c r="B131" s="152">
        <v>1170</v>
      </c>
      <c r="C131" s="131">
        <v>0</v>
      </c>
      <c r="D131" s="131">
        <v>0</v>
      </c>
      <c r="E131" s="168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</row>
    <row r="132" spans="1:10" s="57" customFormat="1" ht="20.25">
      <c r="A132" s="249" t="s">
        <v>233</v>
      </c>
      <c r="B132" s="152">
        <v>1200</v>
      </c>
      <c r="C132" s="167">
        <v>2030</v>
      </c>
      <c r="D132" s="167">
        <f t="shared" ref="D132:E132" si="45">D126+D127+D129-D128-D131</f>
        <v>2344.3999999999946</v>
      </c>
      <c r="E132" s="167">
        <f t="shared" si="45"/>
        <v>2344.3999999999946</v>
      </c>
      <c r="F132" s="167">
        <f>ROUND(F126+F127+F129-F128-F131,1)</f>
        <v>1850.4</v>
      </c>
      <c r="G132" s="167">
        <f t="shared" ref="G132:J132" si="46">ROUND(G126+G127+G129-G128-G131,1)</f>
        <v>396.1</v>
      </c>
      <c r="H132" s="167">
        <f t="shared" si="46"/>
        <v>486.1</v>
      </c>
      <c r="I132" s="167">
        <f t="shared" si="46"/>
        <v>484.1</v>
      </c>
      <c r="J132" s="167">
        <f t="shared" si="46"/>
        <v>484.1</v>
      </c>
    </row>
    <row r="133" spans="1:10" ht="20.25">
      <c r="A133" s="153" t="s">
        <v>102</v>
      </c>
      <c r="B133" s="129">
        <v>1210</v>
      </c>
      <c r="C133" s="130">
        <v>365</v>
      </c>
      <c r="D133" s="271">
        <f>D132*0.18</f>
        <v>421.991999999999</v>
      </c>
      <c r="E133" s="271">
        <f>E132*0.18</f>
        <v>421.991999999999</v>
      </c>
      <c r="F133" s="165">
        <f>SUM(G133:J133)</f>
        <v>332.99599999999998</v>
      </c>
      <c r="G133" s="271">
        <f t="shared" ref="G133:H133" si="47">G132*18%</f>
        <v>71.298000000000002</v>
      </c>
      <c r="H133" s="271">
        <f t="shared" si="47"/>
        <v>87.498000000000005</v>
      </c>
      <c r="I133" s="271">
        <v>87.1</v>
      </c>
      <c r="J133" s="271">
        <v>87.1</v>
      </c>
    </row>
    <row r="134" spans="1:10" ht="40.5">
      <c r="A134" s="153" t="s">
        <v>103</v>
      </c>
      <c r="B134" s="129">
        <v>1220</v>
      </c>
      <c r="C134" s="130">
        <v>0</v>
      </c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</row>
    <row r="135" spans="1:10" s="57" customFormat="1" ht="20.25">
      <c r="A135" s="249" t="s">
        <v>235</v>
      </c>
      <c r="B135" s="152">
        <v>1230</v>
      </c>
      <c r="C135" s="131">
        <f>C132-C133</f>
        <v>1665</v>
      </c>
      <c r="D135" s="270">
        <f t="shared" ref="D135:J135" si="48">D132-D133</f>
        <v>1922.4079999999956</v>
      </c>
      <c r="E135" s="270">
        <f t="shared" si="48"/>
        <v>1922.4079999999956</v>
      </c>
      <c r="F135" s="131">
        <f t="shared" si="48"/>
        <v>1517.404</v>
      </c>
      <c r="G135" s="131">
        <f t="shared" si="48"/>
        <v>324.80200000000002</v>
      </c>
      <c r="H135" s="131">
        <f t="shared" si="48"/>
        <v>398.60200000000003</v>
      </c>
      <c r="I135" s="131">
        <f t="shared" si="48"/>
        <v>397</v>
      </c>
      <c r="J135" s="131">
        <f t="shared" si="48"/>
        <v>397</v>
      </c>
    </row>
    <row r="136" spans="1:10" s="57" customFormat="1" ht="20.25">
      <c r="A136" s="309" t="s">
        <v>193</v>
      </c>
      <c r="B136" s="309"/>
      <c r="C136" s="309"/>
      <c r="D136" s="309"/>
      <c r="E136" s="309"/>
      <c r="F136" s="309"/>
      <c r="G136" s="309"/>
      <c r="H136" s="309"/>
      <c r="I136" s="309"/>
      <c r="J136" s="309"/>
    </row>
    <row r="137" spans="1:10" ht="20.25">
      <c r="A137" s="153" t="s">
        <v>6</v>
      </c>
      <c r="B137" s="129">
        <v>1240</v>
      </c>
      <c r="C137" s="182">
        <f t="shared" ref="C137:J137" si="49">C14+C65+C127+C129</f>
        <v>46356</v>
      </c>
      <c r="D137" s="182">
        <f t="shared" si="49"/>
        <v>71276</v>
      </c>
      <c r="E137" s="182">
        <f t="shared" si="49"/>
        <v>71276</v>
      </c>
      <c r="F137" s="182">
        <f t="shared" si="49"/>
        <v>78753.84</v>
      </c>
      <c r="G137" s="182">
        <f t="shared" si="49"/>
        <v>19674.010000000002</v>
      </c>
      <c r="H137" s="182">
        <f t="shared" si="49"/>
        <v>19684.010000000002</v>
      </c>
      <c r="I137" s="182">
        <f t="shared" si="49"/>
        <v>19704.010000000002</v>
      </c>
      <c r="J137" s="182">
        <f t="shared" si="49"/>
        <v>19691.810000000001</v>
      </c>
    </row>
    <row r="138" spans="1:10" ht="20.25">
      <c r="A138" s="153" t="s">
        <v>87</v>
      </c>
      <c r="B138" s="129">
        <v>1250</v>
      </c>
      <c r="C138" s="182">
        <f t="shared" ref="C138:J138" si="50">C20+C69+C101+C112+C128+C131+C133</f>
        <v>44691</v>
      </c>
      <c r="D138" s="182">
        <f t="shared" si="50"/>
        <v>69353.59199999999</v>
      </c>
      <c r="E138" s="182">
        <f t="shared" si="50"/>
        <v>69353.59199999999</v>
      </c>
      <c r="F138" s="182">
        <f t="shared" si="50"/>
        <v>77236.396000000022</v>
      </c>
      <c r="G138" s="182">
        <f t="shared" si="50"/>
        <v>19349.198000000004</v>
      </c>
      <c r="H138" s="182">
        <f t="shared" si="50"/>
        <v>19285.398000000005</v>
      </c>
      <c r="I138" s="182">
        <f t="shared" si="50"/>
        <v>19307.000000000004</v>
      </c>
      <c r="J138" s="182">
        <f t="shared" si="50"/>
        <v>19294.800000000003</v>
      </c>
    </row>
    <row r="139" spans="1:10" ht="20.25">
      <c r="A139" s="309" t="s">
        <v>170</v>
      </c>
      <c r="B139" s="309"/>
      <c r="C139" s="309"/>
      <c r="D139" s="309"/>
      <c r="E139" s="309"/>
      <c r="F139" s="309"/>
      <c r="G139" s="309"/>
      <c r="H139" s="309"/>
      <c r="I139" s="309"/>
      <c r="J139" s="309"/>
    </row>
    <row r="140" spans="1:10" ht="20.25">
      <c r="A140" s="153" t="s">
        <v>194</v>
      </c>
      <c r="B140" s="183">
        <v>1260</v>
      </c>
      <c r="C140" s="184">
        <v>4885</v>
      </c>
      <c r="D140" s="185">
        <v>5730.4</v>
      </c>
      <c r="E140" s="185">
        <v>5730.4</v>
      </c>
      <c r="F140" s="185">
        <f>SUM(F141:F142)</f>
        <v>5368</v>
      </c>
      <c r="G140" s="185">
        <f>SUM(G141:G142)</f>
        <v>1342</v>
      </c>
      <c r="H140" s="185">
        <f>SUM(H141:H142)</f>
        <v>1342</v>
      </c>
      <c r="I140" s="185">
        <f>SUM(I141:I142)</f>
        <v>1342</v>
      </c>
      <c r="J140" s="185">
        <f>SUM(J141:J142)</f>
        <v>1342</v>
      </c>
    </row>
    <row r="141" spans="1:10" ht="20.25">
      <c r="A141" s="153" t="s">
        <v>192</v>
      </c>
      <c r="B141" s="183">
        <v>1261</v>
      </c>
      <c r="C141" s="184">
        <v>1940</v>
      </c>
      <c r="D141" s="184">
        <v>1962.5</v>
      </c>
      <c r="E141" s="184">
        <v>1962.5</v>
      </c>
      <c r="F141" s="184">
        <f t="shared" ref="F141:J141" si="51">F26</f>
        <v>1680</v>
      </c>
      <c r="G141" s="184">
        <f t="shared" si="51"/>
        <v>420</v>
      </c>
      <c r="H141" s="184">
        <f t="shared" si="51"/>
        <v>420</v>
      </c>
      <c r="I141" s="184">
        <f t="shared" si="51"/>
        <v>420</v>
      </c>
      <c r="J141" s="184">
        <f t="shared" si="51"/>
        <v>420</v>
      </c>
    </row>
    <row r="142" spans="1:10" ht="20.25">
      <c r="A142" s="153" t="s">
        <v>11</v>
      </c>
      <c r="B142" s="183">
        <v>1262</v>
      </c>
      <c r="C142" s="184">
        <v>2945</v>
      </c>
      <c r="D142" s="184">
        <v>3767.8999999999996</v>
      </c>
      <c r="E142" s="184">
        <v>3767.8999999999996</v>
      </c>
      <c r="F142" s="184">
        <f>F27+F95+F30</f>
        <v>3688</v>
      </c>
      <c r="G142" s="184">
        <f t="shared" ref="G142:J142" si="52">G27+G95+G30</f>
        <v>922</v>
      </c>
      <c r="H142" s="184">
        <f t="shared" si="52"/>
        <v>922</v>
      </c>
      <c r="I142" s="184">
        <f t="shared" si="52"/>
        <v>922</v>
      </c>
      <c r="J142" s="184">
        <f t="shared" si="52"/>
        <v>922</v>
      </c>
    </row>
    <row r="143" spans="1:10" ht="20.25">
      <c r="A143" s="153" t="s">
        <v>2</v>
      </c>
      <c r="B143" s="183">
        <v>1270</v>
      </c>
      <c r="C143" s="185">
        <v>9868</v>
      </c>
      <c r="D143" s="185">
        <v>14584.8</v>
      </c>
      <c r="E143" s="185">
        <v>14584.8</v>
      </c>
      <c r="F143" s="185">
        <f>F31+F77+F104+F123</f>
        <v>14821.6</v>
      </c>
      <c r="G143" s="185">
        <f>F143/4</f>
        <v>3705.4</v>
      </c>
      <c r="H143" s="185">
        <f t="shared" ref="H143:J144" si="53">G143</f>
        <v>3705.4</v>
      </c>
      <c r="I143" s="185">
        <f t="shared" si="53"/>
        <v>3705.4</v>
      </c>
      <c r="J143" s="185">
        <f t="shared" si="53"/>
        <v>3705.4</v>
      </c>
    </row>
    <row r="144" spans="1:10" ht="20.25">
      <c r="A144" s="153" t="s">
        <v>3</v>
      </c>
      <c r="B144" s="183">
        <v>1280</v>
      </c>
      <c r="C144" s="185">
        <v>1957</v>
      </c>
      <c r="D144" s="185">
        <v>3038</v>
      </c>
      <c r="E144" s="185">
        <v>3038</v>
      </c>
      <c r="F144" s="185">
        <f>F34+F78+F107</f>
        <v>3256</v>
      </c>
      <c r="G144" s="185">
        <f>F144/4</f>
        <v>814</v>
      </c>
      <c r="H144" s="185">
        <f t="shared" si="53"/>
        <v>814</v>
      </c>
      <c r="I144" s="185">
        <f t="shared" si="53"/>
        <v>814</v>
      </c>
      <c r="J144" s="185">
        <f t="shared" si="53"/>
        <v>814</v>
      </c>
    </row>
    <row r="145" spans="1:10" ht="20.25">
      <c r="A145" s="153" t="s">
        <v>4</v>
      </c>
      <c r="B145" s="183">
        <v>1290</v>
      </c>
      <c r="C145" s="185">
        <v>1311</v>
      </c>
      <c r="D145" s="185">
        <v>1598.6</v>
      </c>
      <c r="E145" s="185">
        <v>1598.6</v>
      </c>
      <c r="F145" s="185">
        <f>F38+F79+F118</f>
        <v>1546</v>
      </c>
      <c r="G145" s="185">
        <f>G38+G79</f>
        <v>385.5</v>
      </c>
      <c r="H145" s="185">
        <f>H38+H79</f>
        <v>385.5</v>
      </c>
      <c r="I145" s="185">
        <f>I38+I79</f>
        <v>385.5</v>
      </c>
      <c r="J145" s="185">
        <f>J38+J79</f>
        <v>385.5</v>
      </c>
    </row>
    <row r="146" spans="1:10" ht="20.25">
      <c r="A146" s="153" t="s">
        <v>12</v>
      </c>
      <c r="B146" s="183">
        <v>1300</v>
      </c>
      <c r="C146" s="185">
        <v>26256</v>
      </c>
      <c r="D146" s="185">
        <v>44342.791999999994</v>
      </c>
      <c r="E146" s="185">
        <v>44342.791999999994</v>
      </c>
      <c r="F146" s="185">
        <f>F138-F140-F143-F144-F145</f>
        <v>52244.796000000024</v>
      </c>
      <c r="G146" s="185">
        <f>G138-G140-G143-G144-G145</f>
        <v>13102.298000000004</v>
      </c>
      <c r="H146" s="185">
        <f>H138-H140-H143-H144-H145</f>
        <v>13038.498000000005</v>
      </c>
      <c r="I146" s="185">
        <f>I138-I140-I143-I144-I145</f>
        <v>13060.100000000004</v>
      </c>
      <c r="J146" s="185">
        <f>J138-J140-J143-J144-J145</f>
        <v>13047.900000000003</v>
      </c>
    </row>
    <row r="147" spans="1:10" s="57" customFormat="1" ht="20.25">
      <c r="A147" s="249" t="s">
        <v>39</v>
      </c>
      <c r="B147" s="186">
        <v>1310</v>
      </c>
      <c r="C147" s="185">
        <v>44277</v>
      </c>
      <c r="D147" s="185">
        <v>69292.592000000004</v>
      </c>
      <c r="E147" s="185">
        <v>69292.592000000004</v>
      </c>
      <c r="F147" s="185">
        <f>F140+F143+F144+F145+F146</f>
        <v>77236.396000000022</v>
      </c>
      <c r="G147" s="185">
        <f>SUM(G140,G143:G146)</f>
        <v>19349.198000000004</v>
      </c>
      <c r="H147" s="185">
        <f>SUM(H140,H143:H146)</f>
        <v>19285.398000000005</v>
      </c>
      <c r="I147" s="185">
        <f>SUM(I140,I143:I146)</f>
        <v>19307.000000000004</v>
      </c>
      <c r="J147" s="185">
        <f>SUM(J140,J143:J146)</f>
        <v>19294.800000000003</v>
      </c>
    </row>
    <row r="148" spans="1:10" s="57" customFormat="1">
      <c r="A148" s="187"/>
      <c r="B148" s="188"/>
      <c r="D148" s="189"/>
      <c r="E148" s="189"/>
      <c r="F148" s="189"/>
      <c r="G148" s="190"/>
      <c r="H148" s="190"/>
      <c r="I148" s="190"/>
      <c r="J148" s="190"/>
    </row>
    <row r="149" spans="1:10" s="57" customFormat="1">
      <c r="A149" s="187"/>
      <c r="B149" s="188"/>
      <c r="C149" s="189"/>
      <c r="D149" s="189"/>
      <c r="E149" s="189"/>
      <c r="F149" s="189"/>
      <c r="G149" s="190"/>
      <c r="H149" s="190"/>
      <c r="I149" s="190"/>
      <c r="J149" s="190"/>
    </row>
    <row r="150" spans="1:10">
      <c r="A150" s="11"/>
      <c r="C150" s="189"/>
      <c r="D150" s="245"/>
      <c r="E150" s="245"/>
      <c r="F150" s="54"/>
      <c r="G150" s="54"/>
      <c r="H150" s="54"/>
      <c r="I150" s="54"/>
      <c r="J150" s="54"/>
    </row>
    <row r="151" spans="1:10" ht="19.5" customHeight="1">
      <c r="A151" s="38" t="s">
        <v>631</v>
      </c>
      <c r="B151" s="1"/>
      <c r="C151" s="299" t="s">
        <v>81</v>
      </c>
      <c r="D151" s="299"/>
      <c r="E151" s="299"/>
      <c r="F151" s="300"/>
      <c r="G151" s="6"/>
      <c r="H151" s="301" t="s">
        <v>626</v>
      </c>
      <c r="I151" s="301"/>
      <c r="J151" s="301"/>
    </row>
    <row r="152" spans="1:10" s="2" customFormat="1">
      <c r="A152" s="39" t="s">
        <v>59</v>
      </c>
      <c r="B152" s="36"/>
      <c r="C152" s="294" t="s">
        <v>60</v>
      </c>
      <c r="D152" s="294"/>
      <c r="E152" s="294"/>
      <c r="F152" s="294"/>
      <c r="G152" s="37"/>
      <c r="H152" s="294" t="s">
        <v>78</v>
      </c>
      <c r="I152" s="294"/>
      <c r="J152" s="294"/>
    </row>
    <row r="153" spans="1:10">
      <c r="A153" s="11"/>
      <c r="C153" s="245"/>
      <c r="D153" s="245"/>
      <c r="E153" s="245"/>
      <c r="F153" s="54"/>
      <c r="G153" s="54"/>
      <c r="H153" s="54"/>
      <c r="I153" s="54"/>
      <c r="J153" s="54"/>
    </row>
    <row r="154" spans="1:10">
      <c r="A154" s="11"/>
      <c r="C154" s="245"/>
      <c r="D154" s="245"/>
      <c r="E154" s="245"/>
      <c r="F154" s="54"/>
      <c r="G154" s="54"/>
      <c r="H154" s="54"/>
      <c r="I154" s="54"/>
      <c r="J154" s="54"/>
    </row>
    <row r="155" spans="1:10">
      <c r="A155" s="11"/>
      <c r="C155" s="245"/>
      <c r="D155" s="245"/>
      <c r="E155" s="245"/>
      <c r="F155" s="54"/>
      <c r="G155" s="54"/>
      <c r="H155" s="54"/>
      <c r="I155" s="54"/>
      <c r="J155" s="54"/>
    </row>
    <row r="156" spans="1:10">
      <c r="A156" s="11"/>
      <c r="C156" s="245"/>
      <c r="D156" s="245"/>
      <c r="E156" s="245"/>
      <c r="F156" s="54"/>
      <c r="G156" s="54"/>
      <c r="H156" s="54"/>
      <c r="I156" s="54"/>
      <c r="J156" s="54"/>
    </row>
    <row r="157" spans="1:10">
      <c r="A157" s="11"/>
      <c r="C157" s="245"/>
      <c r="D157" s="245"/>
      <c r="E157" s="245"/>
      <c r="F157" s="54"/>
      <c r="G157" s="54"/>
      <c r="H157" s="54"/>
      <c r="I157" s="54"/>
      <c r="J157" s="54"/>
    </row>
    <row r="158" spans="1:10">
      <c r="A158" s="11"/>
      <c r="C158" s="245"/>
      <c r="D158" s="245"/>
      <c r="E158" s="245"/>
      <c r="F158" s="54"/>
      <c r="G158" s="54"/>
      <c r="H158" s="54"/>
      <c r="I158" s="54"/>
      <c r="J158" s="54"/>
    </row>
    <row r="159" spans="1:10">
      <c r="A159" s="11"/>
      <c r="C159" s="245"/>
      <c r="D159" s="245"/>
      <c r="E159" s="245"/>
      <c r="F159" s="54"/>
      <c r="G159" s="54"/>
      <c r="H159" s="54"/>
      <c r="I159" s="54"/>
      <c r="J159" s="54"/>
    </row>
    <row r="160" spans="1:10">
      <c r="A160" s="11"/>
      <c r="C160" s="245"/>
      <c r="D160" s="245"/>
      <c r="E160" s="245"/>
      <c r="F160" s="54"/>
      <c r="G160" s="54"/>
      <c r="H160" s="54"/>
      <c r="I160" s="54"/>
      <c r="J160" s="54"/>
    </row>
    <row r="161" spans="1:10">
      <c r="A161" s="11"/>
      <c r="C161" s="245"/>
      <c r="D161" s="245"/>
      <c r="E161" s="245"/>
      <c r="F161" s="54"/>
      <c r="G161" s="54"/>
      <c r="H161" s="54"/>
      <c r="I161" s="54"/>
      <c r="J161" s="54"/>
    </row>
    <row r="162" spans="1:10">
      <c r="A162" s="11"/>
      <c r="C162" s="245"/>
      <c r="D162" s="245"/>
      <c r="E162" s="245"/>
      <c r="F162" s="54"/>
      <c r="G162" s="54"/>
      <c r="H162" s="54"/>
      <c r="I162" s="54"/>
      <c r="J162" s="54"/>
    </row>
    <row r="163" spans="1:10">
      <c r="A163" s="11"/>
      <c r="C163" s="245"/>
      <c r="D163" s="245"/>
      <c r="E163" s="245"/>
      <c r="F163" s="54"/>
      <c r="G163" s="54"/>
      <c r="H163" s="54"/>
      <c r="I163" s="54"/>
      <c r="J163" s="54"/>
    </row>
    <row r="164" spans="1:10">
      <c r="A164" s="11"/>
      <c r="C164" s="245"/>
      <c r="D164" s="245"/>
      <c r="E164" s="245"/>
      <c r="F164" s="54"/>
      <c r="G164" s="54"/>
      <c r="H164" s="54"/>
      <c r="I164" s="54"/>
      <c r="J164" s="54"/>
    </row>
    <row r="165" spans="1:10">
      <c r="A165" s="11"/>
      <c r="C165" s="245"/>
      <c r="D165" s="245"/>
      <c r="E165" s="245"/>
      <c r="F165" s="54"/>
      <c r="G165" s="54"/>
      <c r="H165" s="54"/>
      <c r="I165" s="54"/>
      <c r="J165" s="54"/>
    </row>
    <row r="166" spans="1:10">
      <c r="A166" s="11"/>
      <c r="C166" s="245"/>
      <c r="D166" s="245"/>
      <c r="E166" s="245"/>
      <c r="F166" s="54"/>
      <c r="G166" s="54"/>
      <c r="H166" s="54"/>
      <c r="I166" s="54"/>
      <c r="J166" s="54"/>
    </row>
    <row r="167" spans="1:10">
      <c r="A167" s="11"/>
      <c r="C167" s="245"/>
      <c r="D167" s="245"/>
      <c r="E167" s="245"/>
      <c r="F167" s="54"/>
      <c r="G167" s="54"/>
      <c r="H167" s="54"/>
      <c r="I167" s="54"/>
      <c r="J167" s="54"/>
    </row>
    <row r="168" spans="1:10">
      <c r="A168" s="11"/>
      <c r="C168" s="245"/>
      <c r="D168" s="245"/>
      <c r="E168" s="245"/>
      <c r="F168" s="54"/>
      <c r="G168" s="54"/>
      <c r="H168" s="54"/>
      <c r="I168" s="54"/>
      <c r="J168" s="54"/>
    </row>
    <row r="169" spans="1:10">
      <c r="A169" s="11"/>
      <c r="C169" s="245"/>
      <c r="D169" s="245"/>
      <c r="E169" s="245"/>
      <c r="F169" s="54"/>
      <c r="G169" s="54"/>
      <c r="H169" s="54"/>
      <c r="I169" s="54"/>
      <c r="J169" s="54"/>
    </row>
    <row r="170" spans="1:10">
      <c r="A170" s="11"/>
      <c r="C170" s="245"/>
      <c r="D170" s="245"/>
      <c r="E170" s="245"/>
      <c r="F170" s="54"/>
      <c r="G170" s="54"/>
      <c r="H170" s="54"/>
      <c r="I170" s="54"/>
      <c r="J170" s="54"/>
    </row>
    <row r="171" spans="1:10">
      <c r="A171" s="11"/>
      <c r="C171" s="245"/>
      <c r="D171" s="245"/>
      <c r="E171" s="245"/>
      <c r="F171" s="54"/>
      <c r="G171" s="54"/>
      <c r="H171" s="54"/>
      <c r="I171" s="54"/>
      <c r="J171" s="54"/>
    </row>
    <row r="172" spans="1:10">
      <c r="A172" s="11"/>
      <c r="C172" s="245"/>
      <c r="D172" s="245"/>
      <c r="E172" s="245"/>
      <c r="F172" s="54"/>
      <c r="G172" s="54"/>
      <c r="H172" s="54"/>
      <c r="I172" s="54"/>
      <c r="J172" s="54"/>
    </row>
    <row r="173" spans="1:10">
      <c r="A173" s="11"/>
      <c r="C173" s="245"/>
      <c r="D173" s="245"/>
      <c r="E173" s="245"/>
      <c r="F173" s="54"/>
      <c r="G173" s="54"/>
      <c r="H173" s="54"/>
      <c r="I173" s="54"/>
      <c r="J173" s="54"/>
    </row>
    <row r="174" spans="1:10">
      <c r="A174" s="11"/>
      <c r="C174" s="245"/>
      <c r="D174" s="245"/>
      <c r="E174" s="245"/>
      <c r="F174" s="54"/>
      <c r="G174" s="54"/>
      <c r="H174" s="54"/>
      <c r="I174" s="54"/>
      <c r="J174" s="54"/>
    </row>
    <row r="175" spans="1:10">
      <c r="A175" s="11"/>
      <c r="C175" s="245"/>
      <c r="D175" s="245"/>
      <c r="E175" s="245"/>
      <c r="F175" s="54"/>
      <c r="G175" s="54"/>
      <c r="H175" s="54"/>
      <c r="I175" s="54"/>
      <c r="J175" s="54"/>
    </row>
    <row r="176" spans="1:10">
      <c r="A176" s="11"/>
      <c r="C176" s="245"/>
      <c r="D176" s="245"/>
      <c r="E176" s="245"/>
      <c r="F176" s="54"/>
      <c r="G176" s="54"/>
      <c r="H176" s="54"/>
      <c r="I176" s="54"/>
      <c r="J176" s="54"/>
    </row>
    <row r="177" spans="1:10">
      <c r="A177" s="11"/>
      <c r="C177" s="245"/>
      <c r="D177" s="245"/>
      <c r="E177" s="245"/>
      <c r="F177" s="54"/>
      <c r="G177" s="54"/>
      <c r="H177" s="54"/>
      <c r="I177" s="54"/>
      <c r="J177" s="54"/>
    </row>
    <row r="178" spans="1:10">
      <c r="A178" s="11"/>
      <c r="C178" s="245"/>
      <c r="D178" s="245"/>
      <c r="E178" s="245"/>
      <c r="F178" s="54"/>
      <c r="G178" s="54"/>
      <c r="H178" s="54"/>
      <c r="I178" s="54"/>
      <c r="J178" s="54"/>
    </row>
    <row r="179" spans="1:10">
      <c r="A179" s="11"/>
      <c r="C179" s="245"/>
      <c r="D179" s="245"/>
      <c r="E179" s="245"/>
      <c r="F179" s="54"/>
      <c r="G179" s="54"/>
      <c r="H179" s="54"/>
      <c r="I179" s="54"/>
      <c r="J179" s="54"/>
    </row>
    <row r="180" spans="1:10">
      <c r="A180" s="11"/>
      <c r="C180" s="245"/>
      <c r="D180" s="245"/>
      <c r="E180" s="245"/>
      <c r="F180" s="54"/>
      <c r="G180" s="54"/>
      <c r="H180" s="54"/>
      <c r="I180" s="54"/>
      <c r="J180" s="54"/>
    </row>
    <row r="181" spans="1:10">
      <c r="A181" s="11"/>
      <c r="C181" s="245"/>
      <c r="D181" s="245"/>
      <c r="E181" s="245"/>
      <c r="F181" s="54"/>
      <c r="G181" s="54"/>
      <c r="H181" s="54"/>
      <c r="I181" s="54"/>
      <c r="J181" s="54"/>
    </row>
    <row r="182" spans="1:10">
      <c r="A182" s="11"/>
      <c r="C182" s="245"/>
      <c r="D182" s="245"/>
      <c r="E182" s="245"/>
      <c r="F182" s="54"/>
      <c r="G182" s="54"/>
      <c r="H182" s="54"/>
      <c r="I182" s="54"/>
      <c r="J182" s="54"/>
    </row>
    <row r="183" spans="1:10">
      <c r="A183" s="11"/>
      <c r="C183" s="245"/>
      <c r="D183" s="245"/>
      <c r="E183" s="245"/>
      <c r="F183" s="54"/>
      <c r="G183" s="54"/>
      <c r="H183" s="54"/>
      <c r="I183" s="54"/>
      <c r="J183" s="54"/>
    </row>
    <row r="184" spans="1:10">
      <c r="A184" s="11"/>
      <c r="C184" s="245"/>
      <c r="D184" s="245"/>
      <c r="E184" s="245"/>
      <c r="F184" s="54"/>
      <c r="G184" s="54"/>
      <c r="H184" s="54"/>
      <c r="I184" s="54"/>
      <c r="J184" s="54"/>
    </row>
    <row r="185" spans="1:10">
      <c r="A185" s="11"/>
      <c r="C185" s="245"/>
      <c r="D185" s="245"/>
      <c r="E185" s="245"/>
      <c r="F185" s="54"/>
      <c r="G185" s="54"/>
      <c r="H185" s="54"/>
      <c r="I185" s="54"/>
      <c r="J185" s="54"/>
    </row>
    <row r="186" spans="1:10">
      <c r="A186" s="11"/>
      <c r="C186" s="245"/>
      <c r="D186" s="245"/>
      <c r="E186" s="245"/>
      <c r="F186" s="54"/>
      <c r="G186" s="54"/>
      <c r="H186" s="54"/>
      <c r="I186" s="54"/>
      <c r="J186" s="54"/>
    </row>
    <row r="187" spans="1:10">
      <c r="A187" s="11"/>
      <c r="C187" s="245"/>
      <c r="D187" s="245"/>
      <c r="E187" s="245"/>
      <c r="F187" s="54"/>
      <c r="G187" s="54"/>
      <c r="H187" s="54"/>
      <c r="I187" s="54"/>
      <c r="J187" s="54"/>
    </row>
    <row r="188" spans="1:10">
      <c r="A188" s="11"/>
      <c r="C188" s="245"/>
      <c r="D188" s="245"/>
      <c r="E188" s="245"/>
      <c r="F188" s="54"/>
      <c r="G188" s="54"/>
      <c r="H188" s="54"/>
      <c r="I188" s="54"/>
      <c r="J188" s="54"/>
    </row>
    <row r="189" spans="1:10">
      <c r="A189" s="11"/>
      <c r="C189" s="245"/>
      <c r="D189" s="245"/>
      <c r="E189" s="245"/>
      <c r="F189" s="54"/>
      <c r="G189" s="54"/>
      <c r="H189" s="54"/>
      <c r="I189" s="54"/>
      <c r="J189" s="54"/>
    </row>
    <row r="190" spans="1:10">
      <c r="A190" s="11"/>
      <c r="C190" s="245"/>
      <c r="D190" s="245"/>
      <c r="E190" s="245"/>
      <c r="F190" s="54"/>
      <c r="G190" s="54"/>
      <c r="H190" s="54"/>
      <c r="I190" s="54"/>
      <c r="J190" s="54"/>
    </row>
    <row r="191" spans="1:10">
      <c r="A191" s="11"/>
      <c r="C191" s="245"/>
      <c r="D191" s="245"/>
      <c r="E191" s="245"/>
      <c r="F191" s="54"/>
      <c r="G191" s="54"/>
      <c r="H191" s="54"/>
      <c r="I191" s="54"/>
      <c r="J191" s="54"/>
    </row>
    <row r="192" spans="1:10">
      <c r="A192" s="11"/>
      <c r="C192" s="245"/>
      <c r="D192" s="245"/>
      <c r="E192" s="245"/>
      <c r="F192" s="54"/>
      <c r="G192" s="54"/>
      <c r="H192" s="54"/>
      <c r="I192" s="54"/>
      <c r="J192" s="54"/>
    </row>
    <row r="193" spans="1:10">
      <c r="A193" s="11"/>
      <c r="C193" s="245"/>
      <c r="D193" s="245"/>
      <c r="E193" s="245"/>
      <c r="F193" s="54"/>
      <c r="G193" s="54"/>
      <c r="H193" s="54"/>
      <c r="I193" s="54"/>
      <c r="J193" s="54"/>
    </row>
    <row r="194" spans="1:10">
      <c r="A194" s="11"/>
      <c r="C194" s="245"/>
      <c r="D194" s="245"/>
      <c r="E194" s="245"/>
      <c r="F194" s="54"/>
      <c r="G194" s="54"/>
      <c r="H194" s="54"/>
      <c r="I194" s="54"/>
      <c r="J194" s="54"/>
    </row>
    <row r="195" spans="1:10">
      <c r="A195" s="11"/>
      <c r="C195" s="245"/>
      <c r="D195" s="245"/>
      <c r="E195" s="245"/>
      <c r="F195" s="54"/>
      <c r="G195" s="54"/>
      <c r="H195" s="54"/>
      <c r="I195" s="54"/>
      <c r="J195" s="54"/>
    </row>
    <row r="196" spans="1:10">
      <c r="A196" s="11"/>
      <c r="C196" s="245"/>
      <c r="D196" s="245"/>
      <c r="E196" s="245"/>
      <c r="F196" s="54"/>
      <c r="G196" s="54"/>
      <c r="H196" s="54"/>
      <c r="I196" s="54"/>
      <c r="J196" s="54"/>
    </row>
    <row r="197" spans="1:10">
      <c r="A197" s="11"/>
      <c r="C197" s="245"/>
      <c r="D197" s="245"/>
      <c r="E197" s="245"/>
      <c r="F197" s="54"/>
      <c r="G197" s="54"/>
      <c r="H197" s="54"/>
      <c r="I197" s="54"/>
      <c r="J197" s="54"/>
    </row>
    <row r="198" spans="1:10">
      <c r="A198" s="11"/>
      <c r="C198" s="245"/>
      <c r="D198" s="245"/>
      <c r="E198" s="245"/>
      <c r="F198" s="54"/>
      <c r="G198" s="54"/>
      <c r="H198" s="54"/>
      <c r="I198" s="54"/>
      <c r="J198" s="54"/>
    </row>
    <row r="199" spans="1:10">
      <c r="A199" s="11"/>
      <c r="C199" s="245"/>
      <c r="D199" s="245"/>
      <c r="E199" s="245"/>
      <c r="F199" s="54"/>
      <c r="G199" s="54"/>
      <c r="H199" s="54"/>
      <c r="I199" s="54"/>
      <c r="J199" s="54"/>
    </row>
    <row r="200" spans="1:10">
      <c r="A200" s="11"/>
      <c r="C200" s="245"/>
      <c r="D200" s="245"/>
      <c r="E200" s="245"/>
      <c r="F200" s="54"/>
      <c r="G200" s="54"/>
      <c r="H200" s="54"/>
      <c r="I200" s="54"/>
      <c r="J200" s="54"/>
    </row>
    <row r="201" spans="1:10">
      <c r="A201" s="11"/>
      <c r="C201" s="245"/>
      <c r="D201" s="245"/>
      <c r="E201" s="245"/>
      <c r="F201" s="54"/>
      <c r="G201" s="54"/>
      <c r="H201" s="54"/>
      <c r="I201" s="54"/>
      <c r="J201" s="54"/>
    </row>
    <row r="202" spans="1:10">
      <c r="A202" s="11"/>
      <c r="C202" s="245"/>
      <c r="D202" s="245"/>
      <c r="E202" s="245"/>
      <c r="F202" s="54"/>
      <c r="G202" s="54"/>
      <c r="H202" s="54"/>
      <c r="I202" s="54"/>
      <c r="J202" s="54"/>
    </row>
    <row r="203" spans="1:10">
      <c r="A203" s="11"/>
      <c r="C203" s="245"/>
      <c r="D203" s="245"/>
      <c r="E203" s="245"/>
      <c r="F203" s="54"/>
      <c r="G203" s="54"/>
      <c r="H203" s="54"/>
      <c r="I203" s="54"/>
      <c r="J203" s="54"/>
    </row>
    <row r="204" spans="1:10">
      <c r="A204" s="11"/>
      <c r="C204" s="245"/>
      <c r="D204" s="245"/>
      <c r="E204" s="245"/>
      <c r="F204" s="54"/>
      <c r="G204" s="54"/>
      <c r="H204" s="54"/>
      <c r="I204" s="54"/>
      <c r="J204" s="54"/>
    </row>
    <row r="205" spans="1:10">
      <c r="A205" s="11"/>
      <c r="C205" s="245"/>
      <c r="D205" s="245"/>
      <c r="E205" s="245"/>
      <c r="F205" s="54"/>
      <c r="G205" s="54"/>
      <c r="H205" s="54"/>
      <c r="I205" s="54"/>
      <c r="J205" s="54"/>
    </row>
    <row r="206" spans="1:10">
      <c r="A206" s="11"/>
      <c r="C206" s="245"/>
      <c r="D206" s="245"/>
      <c r="E206" s="245"/>
      <c r="F206" s="54"/>
      <c r="G206" s="54"/>
      <c r="H206" s="54"/>
      <c r="I206" s="54"/>
      <c r="J206" s="54"/>
    </row>
    <row r="207" spans="1:10">
      <c r="A207" s="11"/>
      <c r="C207" s="245"/>
      <c r="D207" s="245"/>
      <c r="E207" s="245"/>
      <c r="F207" s="54"/>
      <c r="G207" s="54"/>
      <c r="H207" s="54"/>
      <c r="I207" s="54"/>
      <c r="J207" s="54"/>
    </row>
    <row r="208" spans="1:10">
      <c r="A208" s="11"/>
      <c r="C208" s="245"/>
      <c r="D208" s="245"/>
      <c r="E208" s="245"/>
      <c r="F208" s="54"/>
      <c r="G208" s="54"/>
      <c r="H208" s="54"/>
      <c r="I208" s="54"/>
      <c r="J208" s="54"/>
    </row>
    <row r="209" spans="1:10">
      <c r="A209" s="11"/>
      <c r="C209" s="245"/>
      <c r="D209" s="245"/>
      <c r="E209" s="245"/>
      <c r="F209" s="54"/>
      <c r="G209" s="54"/>
      <c r="H209" s="54"/>
      <c r="I209" s="54"/>
      <c r="J209" s="54"/>
    </row>
    <row r="210" spans="1:10">
      <c r="A210" s="11"/>
      <c r="C210" s="245"/>
      <c r="D210" s="245"/>
      <c r="E210" s="245"/>
      <c r="F210" s="54"/>
      <c r="G210" s="54"/>
      <c r="H210" s="54"/>
      <c r="I210" s="54"/>
      <c r="J210" s="54"/>
    </row>
    <row r="211" spans="1:10">
      <c r="A211" s="13"/>
      <c r="C211" s="245"/>
    </row>
    <row r="212" spans="1:10">
      <c r="A212" s="13"/>
    </row>
    <row r="213" spans="1:10">
      <c r="A213" s="13"/>
    </row>
    <row r="214" spans="1:10">
      <c r="A214" s="13"/>
    </row>
    <row r="215" spans="1:10">
      <c r="A215" s="13"/>
    </row>
    <row r="216" spans="1:10">
      <c r="A216" s="13"/>
    </row>
    <row r="217" spans="1:10">
      <c r="A217" s="13"/>
    </row>
    <row r="218" spans="1:10">
      <c r="A218" s="13"/>
    </row>
    <row r="219" spans="1:10">
      <c r="A219" s="13"/>
    </row>
    <row r="220" spans="1:10">
      <c r="A220" s="13"/>
    </row>
    <row r="221" spans="1:10">
      <c r="A221" s="13"/>
    </row>
    <row r="222" spans="1:10">
      <c r="A222" s="13"/>
    </row>
    <row r="223" spans="1:10">
      <c r="A223" s="13"/>
    </row>
    <row r="224" spans="1:10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</sheetData>
  <mergeCells count="15">
    <mergeCell ref="A2:J2"/>
    <mergeCell ref="C152:F152"/>
    <mergeCell ref="H152:J152"/>
    <mergeCell ref="A7:J7"/>
    <mergeCell ref="A136:J136"/>
    <mergeCell ref="B4:B5"/>
    <mergeCell ref="A4:A5"/>
    <mergeCell ref="E4:E5"/>
    <mergeCell ref="C4:C5"/>
    <mergeCell ref="G4:J4"/>
    <mergeCell ref="A139:J139"/>
    <mergeCell ref="C151:F151"/>
    <mergeCell ref="H151:J151"/>
    <mergeCell ref="F4:F5"/>
    <mergeCell ref="D4:D5"/>
  </mergeCells>
  <phoneticPr fontId="0" type="noConversion"/>
  <pageMargins left="0.31496062992125984" right="0.11811023622047245" top="0.35433070866141736" bottom="0.35433070866141736" header="0.31496062992125984" footer="0.31496062992125984"/>
  <pageSetup paperSize="9" scale="42" firstPageNumber="2" orientation="portrait" useFirstPageNumber="1" r:id="rId1"/>
  <headerFooter alignWithMargins="0">
    <oddHeader xml:space="preserve">&amp;R&amp;"Times New Roman,обычный"&amp;14Таблиця 1
</oddHeader>
    <oddFooter>&amp;C&amp;P</oddFooter>
  </headerFooter>
  <rowBreaks count="1" manualBreakCount="1">
    <brk id="79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D35" sqref="D35"/>
    </sheetView>
  </sheetViews>
  <sheetFormatPr defaultRowHeight="12.75"/>
  <cols>
    <col min="1" max="1" width="23.85546875" customWidth="1"/>
    <col min="2" max="2" width="10.42578125" customWidth="1"/>
    <col min="3" max="3" width="10.140625" customWidth="1"/>
    <col min="4" max="5" width="15.85546875" customWidth="1"/>
    <col min="6" max="6" width="14.5703125" customWidth="1"/>
    <col min="7" max="7" width="19.85546875" customWidth="1"/>
    <col min="8" max="8" width="16.85546875" customWidth="1"/>
    <col min="9" max="9" width="16" customWidth="1"/>
  </cols>
  <sheetData>
    <row r="1" spans="1:10">
      <c r="A1" s="315" t="s">
        <v>623</v>
      </c>
      <c r="B1" s="315"/>
      <c r="C1" s="315"/>
      <c r="D1" s="315"/>
      <c r="E1" s="315"/>
      <c r="F1" s="315"/>
      <c r="G1" s="315"/>
      <c r="H1" s="258"/>
    </row>
    <row r="2" spans="1:10" ht="63.75">
      <c r="A2" s="137"/>
      <c r="B2" s="137" t="s">
        <v>616</v>
      </c>
      <c r="C2" s="138" t="s">
        <v>612</v>
      </c>
      <c r="D2" s="138" t="s">
        <v>634</v>
      </c>
      <c r="E2" s="138" t="s">
        <v>636</v>
      </c>
      <c r="F2" s="138" t="s">
        <v>656</v>
      </c>
      <c r="G2" s="138" t="s">
        <v>620</v>
      </c>
    </row>
    <row r="3" spans="1:10">
      <c r="A3" s="136" t="s">
        <v>611</v>
      </c>
      <c r="B3" s="140">
        <v>3611</v>
      </c>
      <c r="C3" s="136">
        <v>93.39</v>
      </c>
      <c r="D3" s="223">
        <v>21000</v>
      </c>
      <c r="E3" s="223">
        <f>D3*C3</f>
        <v>1961190</v>
      </c>
      <c r="F3" s="223"/>
      <c r="G3" s="223">
        <f>E3/1000</f>
        <v>1961.19</v>
      </c>
      <c r="I3">
        <v>1969.95</v>
      </c>
      <c r="J3">
        <f>I3*12</f>
        <v>23639.4</v>
      </c>
    </row>
    <row r="4" spans="1:10">
      <c r="A4" s="136" t="s">
        <v>614</v>
      </c>
      <c r="B4" s="140">
        <v>3611</v>
      </c>
      <c r="C4" s="136">
        <v>87.71</v>
      </c>
      <c r="D4" s="223">
        <f>7750*4</f>
        <v>31000</v>
      </c>
      <c r="E4" s="223">
        <f t="shared" ref="E4:E7" si="0">D4*C4</f>
        <v>2719010</v>
      </c>
      <c r="F4" s="223"/>
      <c r="G4" s="223">
        <f t="shared" ref="G4:G7" si="1">E4/1000</f>
        <v>2719.01</v>
      </c>
      <c r="I4">
        <v>2493.9</v>
      </c>
      <c r="J4">
        <f t="shared" ref="J4:J7" si="2">I4*12</f>
        <v>29926.800000000003</v>
      </c>
    </row>
    <row r="5" spans="1:10">
      <c r="A5" s="136" t="s">
        <v>615</v>
      </c>
      <c r="B5" s="140">
        <v>367</v>
      </c>
      <c r="C5" s="136">
        <v>87.71</v>
      </c>
      <c r="D5" s="223">
        <v>355000</v>
      </c>
      <c r="E5" s="223">
        <f t="shared" si="0"/>
        <v>31137049.999999996</v>
      </c>
      <c r="F5" s="223"/>
      <c r="G5" s="223">
        <f t="shared" si="1"/>
        <v>31137.049999999996</v>
      </c>
      <c r="I5">
        <v>29831</v>
      </c>
      <c r="J5">
        <f t="shared" si="2"/>
        <v>357972</v>
      </c>
    </row>
    <row r="6" spans="1:10">
      <c r="A6" s="136" t="s">
        <v>617</v>
      </c>
      <c r="B6" s="140">
        <v>364</v>
      </c>
      <c r="C6" s="136">
        <v>87.71</v>
      </c>
      <c r="D6" s="223">
        <f>19000*4</f>
        <v>76000</v>
      </c>
      <c r="E6" s="223">
        <f t="shared" si="0"/>
        <v>6665959.9999999991</v>
      </c>
      <c r="F6" s="223"/>
      <c r="G6" s="223">
        <f t="shared" si="1"/>
        <v>6665.9599999999991</v>
      </c>
      <c r="I6">
        <v>6674.29</v>
      </c>
      <c r="J6">
        <f t="shared" si="2"/>
        <v>80091.48</v>
      </c>
    </row>
    <row r="7" spans="1:10">
      <c r="A7" s="136" t="s">
        <v>610</v>
      </c>
      <c r="B7" s="140">
        <v>3611</v>
      </c>
      <c r="C7" s="136">
        <v>97.45</v>
      </c>
      <c r="D7" s="223">
        <v>82000</v>
      </c>
      <c r="E7" s="223">
        <f t="shared" si="0"/>
        <v>7990900</v>
      </c>
      <c r="F7" s="223"/>
      <c r="G7" s="223">
        <f t="shared" si="1"/>
        <v>7990.9</v>
      </c>
      <c r="I7">
        <v>8057.27</v>
      </c>
      <c r="J7">
        <f t="shared" si="2"/>
        <v>96687.24</v>
      </c>
    </row>
    <row r="8" spans="1:10">
      <c r="A8" s="139" t="s">
        <v>613</v>
      </c>
      <c r="B8" s="139"/>
      <c r="C8" s="139"/>
      <c r="D8" s="224">
        <f>SUM(D3:D7)</f>
        <v>565000</v>
      </c>
      <c r="E8" s="224">
        <f>SUM(E3:E7)</f>
        <v>50474110</v>
      </c>
      <c r="F8" s="224">
        <f>E8/12</f>
        <v>4206175.833333333</v>
      </c>
      <c r="G8" s="224">
        <f>SUM(G3:G7)</f>
        <v>50474.11</v>
      </c>
      <c r="H8" s="259">
        <f>G8</f>
        <v>50474.11</v>
      </c>
      <c r="J8">
        <f>SUM(J3:J7)</f>
        <v>588316.92000000004</v>
      </c>
    </row>
    <row r="11" spans="1:10" ht="38.25">
      <c r="A11" s="137"/>
      <c r="B11" s="137" t="s">
        <v>616</v>
      </c>
      <c r="C11" s="138" t="s">
        <v>612</v>
      </c>
      <c r="D11" s="138" t="s">
        <v>635</v>
      </c>
      <c r="E11" s="138" t="s">
        <v>637</v>
      </c>
      <c r="F11" s="138" t="s">
        <v>619</v>
      </c>
      <c r="G11" s="138" t="s">
        <v>620</v>
      </c>
      <c r="H11" s="138"/>
    </row>
    <row r="12" spans="1:10">
      <c r="A12" s="136" t="s">
        <v>611</v>
      </c>
      <c r="B12" s="140">
        <v>3611</v>
      </c>
      <c r="C12" s="255">
        <f>36.04+5.96</f>
        <v>42</v>
      </c>
      <c r="D12" s="223">
        <f>D3</f>
        <v>21000</v>
      </c>
      <c r="E12" s="223">
        <f>D12*C12</f>
        <v>882000</v>
      </c>
      <c r="F12" s="223"/>
      <c r="G12" s="223">
        <f>E12/1000</f>
        <v>882</v>
      </c>
      <c r="H12" s="135"/>
    </row>
    <row r="13" spans="1:10">
      <c r="A13" s="136" t="s">
        <v>614</v>
      </c>
      <c r="B13" s="140">
        <v>3611</v>
      </c>
      <c r="C13" s="136">
        <f>36.04+4.32</f>
        <v>40.36</v>
      </c>
      <c r="D13" s="223">
        <f t="shared" ref="D13:D16" si="3">D4</f>
        <v>31000</v>
      </c>
      <c r="E13" s="223">
        <f>D13*C13</f>
        <v>1251160</v>
      </c>
      <c r="F13" s="223"/>
      <c r="G13" s="223">
        <f t="shared" ref="G13:G16" si="4">E13/1000</f>
        <v>1251.1600000000001</v>
      </c>
      <c r="H13" s="135"/>
    </row>
    <row r="14" spans="1:10">
      <c r="A14" s="136" t="s">
        <v>615</v>
      </c>
      <c r="B14" s="140">
        <v>367</v>
      </c>
      <c r="C14" s="136">
        <f>36.04+4.32</f>
        <v>40.36</v>
      </c>
      <c r="D14" s="223">
        <f t="shared" si="3"/>
        <v>355000</v>
      </c>
      <c r="E14" s="223">
        <f>D14*C14</f>
        <v>14327800</v>
      </c>
      <c r="F14" s="223"/>
      <c r="G14" s="223">
        <f t="shared" si="4"/>
        <v>14327.8</v>
      </c>
      <c r="H14" s="135"/>
    </row>
    <row r="15" spans="1:10">
      <c r="A15" s="136" t="s">
        <v>617</v>
      </c>
      <c r="B15" s="140">
        <v>364</v>
      </c>
      <c r="C15" s="136">
        <f>36.04+4.32</f>
        <v>40.36</v>
      </c>
      <c r="D15" s="223">
        <f t="shared" si="3"/>
        <v>76000</v>
      </c>
      <c r="E15" s="223">
        <f>D15*C15</f>
        <v>3067360</v>
      </c>
      <c r="F15" s="223"/>
      <c r="G15" s="223">
        <f t="shared" si="4"/>
        <v>3067.36</v>
      </c>
      <c r="H15" s="135"/>
    </row>
    <row r="16" spans="1:10">
      <c r="A16" s="136" t="s">
        <v>610</v>
      </c>
      <c r="B16" s="140">
        <v>3611</v>
      </c>
      <c r="C16" s="136">
        <f>36.04+6.99</f>
        <v>43.03</v>
      </c>
      <c r="D16" s="223">
        <f t="shared" si="3"/>
        <v>82000</v>
      </c>
      <c r="E16" s="223">
        <f>D16*C16</f>
        <v>3528460</v>
      </c>
      <c r="F16" s="223"/>
      <c r="G16" s="223">
        <f t="shared" si="4"/>
        <v>3528.46</v>
      </c>
      <c r="H16" s="135"/>
    </row>
    <row r="17" spans="1:8">
      <c r="A17" s="139" t="s">
        <v>613</v>
      </c>
      <c r="B17" s="139"/>
      <c r="C17" s="139"/>
      <c r="D17" s="224">
        <f>SUM(D12:D16)</f>
        <v>565000</v>
      </c>
      <c r="E17" s="224">
        <f>SUM(E12:E16)</f>
        <v>23056780</v>
      </c>
      <c r="F17" s="224">
        <f>E17/12</f>
        <v>1921398.3333333333</v>
      </c>
      <c r="G17" s="224">
        <f>SUM(G12:G16)</f>
        <v>23056.78</v>
      </c>
      <c r="H17" s="257"/>
    </row>
    <row r="20" spans="1:8">
      <c r="A20" s="314" t="s">
        <v>624</v>
      </c>
      <c r="B20" s="314"/>
      <c r="C20" s="314"/>
      <c r="D20" s="314"/>
      <c r="E20" s="314"/>
      <c r="F20" s="314"/>
      <c r="G20" s="314"/>
      <c r="H20" s="314"/>
    </row>
    <row r="21" spans="1:8" ht="62.25" customHeight="1">
      <c r="A21" s="135"/>
      <c r="B21" s="137" t="s">
        <v>616</v>
      </c>
      <c r="C21" s="138" t="s">
        <v>612</v>
      </c>
      <c r="D21" s="138" t="s">
        <v>618</v>
      </c>
      <c r="E21" s="138" t="s">
        <v>638</v>
      </c>
      <c r="F21" s="138" t="s">
        <v>619</v>
      </c>
      <c r="G21" s="138" t="s">
        <v>620</v>
      </c>
      <c r="H21" s="135"/>
    </row>
    <row r="22" spans="1:8">
      <c r="A22" s="136" t="s">
        <v>611</v>
      </c>
      <c r="B22" s="140">
        <v>3611</v>
      </c>
      <c r="C22" s="255">
        <v>105.05</v>
      </c>
      <c r="D22" s="223"/>
      <c r="E22" s="223">
        <f>D22*C22</f>
        <v>0</v>
      </c>
      <c r="F22" s="223"/>
      <c r="G22" s="223">
        <f>E22/1000</f>
        <v>0</v>
      </c>
      <c r="H22" s="135"/>
    </row>
    <row r="23" spans="1:8">
      <c r="A23" s="136" t="s">
        <v>614</v>
      </c>
      <c r="B23" s="140">
        <v>3611</v>
      </c>
      <c r="C23" s="136">
        <v>99.52</v>
      </c>
      <c r="D23" s="223">
        <f>900*4</f>
        <v>3600</v>
      </c>
      <c r="E23" s="223">
        <f>D23*C23</f>
        <v>358272</v>
      </c>
      <c r="F23" s="223"/>
      <c r="G23" s="223">
        <v>358</v>
      </c>
      <c r="H23" s="135"/>
    </row>
    <row r="24" spans="1:8">
      <c r="A24" s="136" t="s">
        <v>615</v>
      </c>
      <c r="B24" s="140">
        <v>367</v>
      </c>
      <c r="C24" s="136">
        <v>99.52</v>
      </c>
      <c r="D24" s="223">
        <f>620*4</f>
        <v>2480</v>
      </c>
      <c r="E24" s="223">
        <f>D24*C24</f>
        <v>246809.59999999998</v>
      </c>
      <c r="F24" s="223"/>
      <c r="G24" s="223">
        <v>246</v>
      </c>
      <c r="H24" s="135"/>
    </row>
    <row r="25" spans="1:8">
      <c r="A25" s="136" t="s">
        <v>617</v>
      </c>
      <c r="B25" s="140">
        <v>364</v>
      </c>
      <c r="C25" s="136">
        <v>99.52</v>
      </c>
      <c r="D25" s="223"/>
      <c r="E25" s="223">
        <f>D25*C25</f>
        <v>0</v>
      </c>
      <c r="F25" s="223"/>
      <c r="G25" s="223">
        <f t="shared" ref="G25:G26" si="5">E25/1000</f>
        <v>0</v>
      </c>
      <c r="H25" s="135"/>
    </row>
    <row r="26" spans="1:8">
      <c r="A26" s="136" t="s">
        <v>610</v>
      </c>
      <c r="B26" s="140">
        <v>3611</v>
      </c>
      <c r="C26" s="136">
        <v>106.89</v>
      </c>
      <c r="D26" s="223"/>
      <c r="E26" s="223">
        <f>D26*C26</f>
        <v>0</v>
      </c>
      <c r="F26" s="223"/>
      <c r="G26" s="223">
        <f t="shared" si="5"/>
        <v>0</v>
      </c>
    </row>
    <row r="27" spans="1:8">
      <c r="A27" s="139" t="s">
        <v>613</v>
      </c>
      <c r="B27" s="139"/>
      <c r="C27" s="139"/>
      <c r="D27" s="224">
        <f>SUM(D22:D26)</f>
        <v>6080</v>
      </c>
      <c r="E27" s="224">
        <f>SUM(E22:E26)</f>
        <v>605081.59999999998</v>
      </c>
      <c r="F27" s="224">
        <f>SUM(F22:F26)</f>
        <v>0</v>
      </c>
      <c r="G27" s="224">
        <f>SUM(G22:G26)</f>
        <v>604</v>
      </c>
    </row>
    <row r="29" spans="1:8">
      <c r="A29" s="315" t="s">
        <v>640</v>
      </c>
      <c r="B29" s="315"/>
      <c r="C29" s="315"/>
      <c r="D29" s="315"/>
      <c r="E29" s="315"/>
      <c r="F29" s="315"/>
      <c r="G29" s="315"/>
    </row>
    <row r="30" spans="1:8" ht="62.25" customHeight="1">
      <c r="A30" s="135"/>
      <c r="B30" s="137" t="s">
        <v>616</v>
      </c>
      <c r="C30" s="138" t="s">
        <v>612</v>
      </c>
      <c r="D30" s="138" t="s">
        <v>645</v>
      </c>
      <c r="E30" s="138" t="s">
        <v>638</v>
      </c>
      <c r="F30" s="138" t="s">
        <v>619</v>
      </c>
      <c r="G30" s="138" t="s">
        <v>620</v>
      </c>
      <c r="H30" s="135"/>
    </row>
    <row r="31" spans="1:8">
      <c r="A31" s="136" t="s">
        <v>640</v>
      </c>
      <c r="B31" s="140">
        <v>3611</v>
      </c>
      <c r="C31" s="255">
        <v>1000</v>
      </c>
      <c r="D31" s="223">
        <v>1000</v>
      </c>
      <c r="E31" s="223"/>
      <c r="F31" s="223"/>
      <c r="G31" s="223"/>
      <c r="H31" s="135"/>
    </row>
    <row r="32" spans="1:8">
      <c r="A32" s="136" t="s">
        <v>641</v>
      </c>
      <c r="B32" s="140">
        <v>3611</v>
      </c>
      <c r="C32" s="136">
        <v>133.1</v>
      </c>
      <c r="D32" s="223">
        <v>132</v>
      </c>
      <c r="E32" s="223"/>
      <c r="F32" s="223"/>
      <c r="G32" s="223"/>
      <c r="H32" s="135"/>
    </row>
    <row r="33" spans="1:8">
      <c r="A33" s="136" t="s">
        <v>642</v>
      </c>
      <c r="B33" s="140">
        <v>367</v>
      </c>
      <c r="C33" s="136">
        <v>57.8</v>
      </c>
      <c r="D33" s="223">
        <v>58</v>
      </c>
      <c r="E33" s="223"/>
      <c r="F33" s="223"/>
      <c r="G33" s="223"/>
      <c r="H33" s="135"/>
    </row>
    <row r="34" spans="1:8">
      <c r="A34" s="136" t="s">
        <v>643</v>
      </c>
      <c r="B34" s="140">
        <v>364</v>
      </c>
      <c r="C34" s="136">
        <v>788.4</v>
      </c>
      <c r="D34" s="223">
        <v>788</v>
      </c>
      <c r="E34" s="223"/>
      <c r="F34" s="223"/>
      <c r="G34" s="223"/>
      <c r="H34" s="135"/>
    </row>
    <row r="35" spans="1:8">
      <c r="A35" s="136" t="s">
        <v>644</v>
      </c>
      <c r="B35" s="140">
        <v>3611</v>
      </c>
      <c r="C35" s="136">
        <v>50</v>
      </c>
      <c r="D35" s="223">
        <v>49</v>
      </c>
      <c r="E35" s="223"/>
      <c r="F35" s="223"/>
      <c r="G35" s="223"/>
    </row>
    <row r="36" spans="1:8">
      <c r="A36" s="139" t="s">
        <v>613</v>
      </c>
      <c r="B36" s="139"/>
      <c r="C36" s="256">
        <f>SUM(C31:C35)</f>
        <v>2029.2999999999997</v>
      </c>
      <c r="D36" s="224">
        <f>SUM(D31:D35)</f>
        <v>2027</v>
      </c>
      <c r="E36" s="224"/>
      <c r="F36" s="224"/>
      <c r="G36" s="224"/>
    </row>
    <row r="39" spans="1:8">
      <c r="A39" t="s">
        <v>646</v>
      </c>
      <c r="C39" t="s">
        <v>651</v>
      </c>
    </row>
    <row r="40" spans="1:8">
      <c r="A40" t="s">
        <v>647</v>
      </c>
      <c r="B40">
        <f>25000*3*5*4/1000</f>
        <v>1500</v>
      </c>
      <c r="C40">
        <v>3</v>
      </c>
    </row>
    <row r="41" spans="1:8">
      <c r="A41" t="s">
        <v>648</v>
      </c>
      <c r="B41">
        <f>45*4</f>
        <v>180</v>
      </c>
    </row>
    <row r="42" spans="1:8">
      <c r="A42" t="s">
        <v>649</v>
      </c>
      <c r="B42">
        <v>130</v>
      </c>
    </row>
    <row r="43" spans="1:8">
      <c r="A43" t="s">
        <v>650</v>
      </c>
      <c r="B43">
        <v>55</v>
      </c>
    </row>
    <row r="45" spans="1:8">
      <c r="B45">
        <f>SUM(B40:C44)</f>
        <v>1868</v>
      </c>
    </row>
  </sheetData>
  <mergeCells count="3">
    <mergeCell ref="A20:H20"/>
    <mergeCell ref="A29:G29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K193"/>
  <sheetViews>
    <sheetView view="pageBreakPreview" zoomScale="70" zoomScaleNormal="75" zoomScaleSheetLayoutView="70" zoomScalePageLayoutView="70" workbookViewId="0">
      <pane ySplit="6" topLeftCell="A7" activePane="bottomLeft" state="frozen"/>
      <selection pane="bottomLeft" activeCell="E18" sqref="E18"/>
    </sheetView>
  </sheetViews>
  <sheetFormatPr defaultColWidth="77.85546875" defaultRowHeight="18.75" outlineLevelRow="1"/>
  <cols>
    <col min="1" max="1" width="56.7109375" style="115" customWidth="1"/>
    <col min="2" max="2" width="10.7109375" style="124" customWidth="1"/>
    <col min="3" max="5" width="15.85546875" style="124" customWidth="1"/>
    <col min="6" max="10" width="15.85546875" style="115" customWidth="1"/>
    <col min="11" max="11" width="9.5703125" style="115" customWidth="1"/>
    <col min="12" max="254" width="9.140625" style="115" customWidth="1"/>
    <col min="255" max="16384" width="77.85546875" style="115"/>
  </cols>
  <sheetData>
    <row r="2" spans="1:10">
      <c r="A2" s="317" t="s">
        <v>113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outlineLevel="1">
      <c r="A3" s="116"/>
      <c r="B3" s="56"/>
      <c r="C3" s="116"/>
      <c r="D3" s="116"/>
      <c r="E3" s="116"/>
      <c r="F3" s="116"/>
      <c r="G3" s="116"/>
      <c r="H3" s="116"/>
      <c r="I3" s="116"/>
      <c r="J3" s="117" t="s">
        <v>501</v>
      </c>
    </row>
    <row r="4" spans="1:10" ht="38.25" customHeight="1">
      <c r="A4" s="295" t="s">
        <v>181</v>
      </c>
      <c r="B4" s="296" t="s">
        <v>5</v>
      </c>
      <c r="C4" s="297" t="s">
        <v>627</v>
      </c>
      <c r="D4" s="297" t="s">
        <v>628</v>
      </c>
      <c r="E4" s="297" t="s">
        <v>629</v>
      </c>
      <c r="F4" s="297" t="s">
        <v>630</v>
      </c>
      <c r="G4" s="296" t="s">
        <v>255</v>
      </c>
      <c r="H4" s="296"/>
      <c r="I4" s="296"/>
      <c r="J4" s="296"/>
    </row>
    <row r="5" spans="1:10" ht="36" customHeight="1">
      <c r="A5" s="295"/>
      <c r="B5" s="296"/>
      <c r="C5" s="298" t="s">
        <v>395</v>
      </c>
      <c r="D5" s="298"/>
      <c r="E5" s="298" t="s">
        <v>394</v>
      </c>
      <c r="F5" s="298" t="s">
        <v>393</v>
      </c>
      <c r="G5" s="53" t="s">
        <v>139</v>
      </c>
      <c r="H5" s="53" t="s">
        <v>140</v>
      </c>
      <c r="I5" s="53" t="s">
        <v>141</v>
      </c>
      <c r="J5" s="53" t="s">
        <v>54</v>
      </c>
    </row>
    <row r="6" spans="1:10" ht="18" customHeight="1">
      <c r="A6" s="191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spans="1:10">
      <c r="A7" s="316" t="s">
        <v>109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0" ht="57.75" customHeight="1">
      <c r="A8" s="12" t="s">
        <v>41</v>
      </c>
      <c r="B8" s="244">
        <v>2000</v>
      </c>
      <c r="C8" s="119">
        <v>-6028</v>
      </c>
      <c r="D8" s="119">
        <v>-6737.0072400000008</v>
      </c>
      <c r="E8" s="119">
        <v>-6737.0072400000008</v>
      </c>
      <c r="F8" s="119">
        <f>E16</f>
        <v>-5064.599240000005</v>
      </c>
      <c r="G8" s="119">
        <f>E16</f>
        <v>-5064.599240000005</v>
      </c>
      <c r="H8" s="119">
        <f>G16</f>
        <v>-4788.5175400000053</v>
      </c>
      <c r="I8" s="119">
        <f>H16</f>
        <v>-4449.7058400000051</v>
      </c>
      <c r="J8" s="119">
        <f>I16</f>
        <v>-4112.2558400000053</v>
      </c>
    </row>
    <row r="9" spans="1:10" ht="39.75" customHeight="1">
      <c r="A9" s="12" t="s">
        <v>236</v>
      </c>
      <c r="B9" s="244">
        <v>2010</v>
      </c>
      <c r="C9" s="192">
        <v>235.3</v>
      </c>
      <c r="D9" s="192">
        <v>250</v>
      </c>
      <c r="E9" s="192">
        <v>250</v>
      </c>
      <c r="F9" s="192">
        <f>'1.Фінансовий результат'!F135*15%</f>
        <v>227.61060000000001</v>
      </c>
      <c r="G9" s="192">
        <f>'1.Фінансовий результат'!G135*15%</f>
        <v>48.720300000000002</v>
      </c>
      <c r="H9" s="192">
        <f>'1.Фінансовий результат'!H135*15%</f>
        <v>59.790300000000002</v>
      </c>
      <c r="I9" s="192">
        <f>'1.Фінансовий результат'!I135*15%</f>
        <v>59.55</v>
      </c>
      <c r="J9" s="192">
        <f>'1.Фінансовий результат'!J135*15%</f>
        <v>59.55</v>
      </c>
    </row>
    <row r="10" spans="1:10" ht="20.100000000000001" customHeight="1">
      <c r="A10" s="4" t="s">
        <v>142</v>
      </c>
      <c r="B10" s="244">
        <v>2020</v>
      </c>
      <c r="C10" s="192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</row>
    <row r="11" spans="1:10" s="120" customFormat="1" ht="20.100000000000001" customHeight="1">
      <c r="A11" s="12" t="s">
        <v>51</v>
      </c>
      <c r="B11" s="244">
        <v>2030</v>
      </c>
      <c r="C11" s="192">
        <v>0</v>
      </c>
      <c r="D11" s="192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</row>
    <row r="12" spans="1:10" ht="37.5">
      <c r="A12" s="12" t="s">
        <v>97</v>
      </c>
      <c r="B12" s="244">
        <v>2031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</row>
    <row r="13" spans="1:10" ht="20.100000000000001" customHeight="1">
      <c r="A13" s="12" t="s">
        <v>9</v>
      </c>
      <c r="B13" s="244">
        <v>2040</v>
      </c>
      <c r="C13" s="192">
        <v>235.3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</row>
    <row r="14" spans="1:10" ht="20.100000000000001" customHeight="1">
      <c r="A14" s="12" t="s">
        <v>85</v>
      </c>
      <c r="B14" s="244">
        <v>2050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</row>
    <row r="15" spans="1:10" ht="20.100000000000001" customHeight="1">
      <c r="A15" s="12" t="s">
        <v>86</v>
      </c>
      <c r="B15" s="244">
        <v>2060</v>
      </c>
      <c r="C15" s="192">
        <v>26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</row>
    <row r="16" spans="1:10" ht="42.75" customHeight="1">
      <c r="A16" s="12" t="s">
        <v>42</v>
      </c>
      <c r="B16" s="244">
        <v>2070</v>
      </c>
      <c r="C16" s="192">
        <v>-4859.6000000000004</v>
      </c>
      <c r="D16" s="192">
        <v>-5064.599240000005</v>
      </c>
      <c r="E16" s="192">
        <v>-5064.599240000005</v>
      </c>
      <c r="F16" s="192">
        <f>F8+'1.Фінансовий результат'!F135-'2. Розрахунки з бюджетом'!F9</f>
        <v>-3774.805840000005</v>
      </c>
      <c r="G16" s="192">
        <f>G8+'1.Фінансовий результат'!G135-'2. Розрахунки з бюджетом'!G9</f>
        <v>-4788.5175400000053</v>
      </c>
      <c r="H16" s="192">
        <f>H8+'1.Фінансовий результат'!H135-'2. Розрахунки з бюджетом'!H9</f>
        <v>-4449.7058400000051</v>
      </c>
      <c r="I16" s="192">
        <f>I8+'1.Фінансовий результат'!I135-'2. Розрахунки з бюджетом'!I9</f>
        <v>-4112.2558400000053</v>
      </c>
      <c r="J16" s="192">
        <f>J8+'1.Фінансовий результат'!J135-'2. Розрахунки з бюджетом'!J9</f>
        <v>-3774.8058400000054</v>
      </c>
    </row>
    <row r="17" spans="1:10" ht="20.100000000000001" customHeight="1">
      <c r="A17" s="316" t="s">
        <v>110</v>
      </c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ht="40.5" customHeight="1">
      <c r="A18" s="12" t="s">
        <v>236</v>
      </c>
      <c r="B18" s="244">
        <v>2100</v>
      </c>
      <c r="C18" s="192">
        <v>235.3</v>
      </c>
      <c r="D18" s="192">
        <v>303.86120000000005</v>
      </c>
      <c r="E18" s="192">
        <v>303.86120000000005</v>
      </c>
      <c r="F18" s="272">
        <f>SUM(G18:J18)</f>
        <v>227.61060000000003</v>
      </c>
      <c r="G18" s="272">
        <f>'1.Фінансовий результат'!G135*15%</f>
        <v>48.720300000000002</v>
      </c>
      <c r="H18" s="272">
        <f>'1.Фінансовий результат'!H135*15%</f>
        <v>59.790300000000002</v>
      </c>
      <c r="I18" s="272">
        <f>'1.Фінансовий результат'!I135*15%</f>
        <v>59.55</v>
      </c>
      <c r="J18" s="272">
        <f>'1.Фінансовий результат'!J135*15%</f>
        <v>59.55</v>
      </c>
    </row>
    <row r="19" spans="1:10" s="120" customFormat="1" ht="20.100000000000001" customHeight="1">
      <c r="A19" s="12" t="s">
        <v>112</v>
      </c>
      <c r="B19" s="118">
        <v>2110</v>
      </c>
      <c r="C19" s="192">
        <v>365</v>
      </c>
      <c r="D19" s="272">
        <v>421.991999999999</v>
      </c>
      <c r="E19" s="272">
        <v>421.991999999999</v>
      </c>
      <c r="F19" s="192">
        <f>SUM(G19:J19)</f>
        <v>332.99599999999998</v>
      </c>
      <c r="G19" s="192">
        <f>'1.Фінансовий результат'!G133</f>
        <v>71.298000000000002</v>
      </c>
      <c r="H19" s="192">
        <f>'1.Фінансовий результат'!H133</f>
        <v>87.498000000000005</v>
      </c>
      <c r="I19" s="192">
        <f>'1.Фінансовий результат'!I133</f>
        <v>87.1</v>
      </c>
      <c r="J19" s="192">
        <f>'1.Фінансовий результат'!J133</f>
        <v>87.1</v>
      </c>
    </row>
    <row r="20" spans="1:10" ht="56.25">
      <c r="A20" s="12" t="s">
        <v>208</v>
      </c>
      <c r="B20" s="118">
        <v>2120</v>
      </c>
      <c r="C20" s="192">
        <v>1900.2</v>
      </c>
      <c r="D20" s="192">
        <v>4754.2</v>
      </c>
      <c r="E20" s="192">
        <v>4754.2</v>
      </c>
      <c r="F20" s="192">
        <v>5500</v>
      </c>
      <c r="G20" s="192">
        <f>F20/4</f>
        <v>1375</v>
      </c>
      <c r="H20" s="192">
        <f>G20</f>
        <v>1375</v>
      </c>
      <c r="I20" s="192">
        <f>H20</f>
        <v>1375</v>
      </c>
      <c r="J20" s="192">
        <f>I20</f>
        <v>1375</v>
      </c>
    </row>
    <row r="21" spans="1:10" ht="56.25">
      <c r="A21" s="12" t="s">
        <v>209</v>
      </c>
      <c r="B21" s="118">
        <v>2130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</row>
    <row r="22" spans="1:10" s="253" customFormat="1" ht="58.5" customHeight="1">
      <c r="A22" s="252" t="s">
        <v>174</v>
      </c>
      <c r="B22" s="121">
        <v>2140</v>
      </c>
      <c r="C22" s="119">
        <v>3605.3999999999996</v>
      </c>
      <c r="D22" s="119">
        <v>4285.1000000000004</v>
      </c>
      <c r="E22" s="119">
        <v>4285.1000000000004</v>
      </c>
      <c r="F22" s="119">
        <f t="shared" ref="F22:J22" si="0">F23+F24+F25+F26+F27+F30+F37</f>
        <v>4535.8879999999999</v>
      </c>
      <c r="G22" s="119">
        <f t="shared" si="0"/>
        <v>1133.972</v>
      </c>
      <c r="H22" s="119">
        <f t="shared" si="0"/>
        <v>1133.972</v>
      </c>
      <c r="I22" s="119">
        <f t="shared" si="0"/>
        <v>1133.972</v>
      </c>
      <c r="J22" s="119">
        <f t="shared" si="0"/>
        <v>1133.972</v>
      </c>
    </row>
    <row r="23" spans="1:10" ht="20.100000000000001" customHeight="1">
      <c r="A23" s="12" t="s">
        <v>65</v>
      </c>
      <c r="B23" s="118">
        <v>2141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</row>
    <row r="24" spans="1:10" ht="20.100000000000001" customHeight="1">
      <c r="A24" s="12" t="s">
        <v>80</v>
      </c>
      <c r="B24" s="118">
        <v>2142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</row>
    <row r="25" spans="1:10" ht="20.100000000000001" customHeight="1">
      <c r="A25" s="12" t="s">
        <v>77</v>
      </c>
      <c r="B25" s="118">
        <v>2143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</row>
    <row r="26" spans="1:10" ht="20.100000000000001" customHeight="1">
      <c r="A26" s="12" t="s">
        <v>63</v>
      </c>
      <c r="B26" s="118">
        <v>2144</v>
      </c>
      <c r="C26" s="192">
        <v>1743</v>
      </c>
      <c r="D26" s="192">
        <v>2613.9</v>
      </c>
      <c r="E26" s="192">
        <v>2613.9</v>
      </c>
      <c r="F26" s="273">
        <f>'1.Фінансовий результат'!F143*18%</f>
        <v>2667.8879999999999</v>
      </c>
      <c r="G26" s="192">
        <f>F26/4</f>
        <v>666.97199999999998</v>
      </c>
      <c r="H26" s="192">
        <f>G26</f>
        <v>666.97199999999998</v>
      </c>
      <c r="I26" s="192">
        <f>H26</f>
        <v>666.97199999999998</v>
      </c>
      <c r="J26" s="192">
        <f>I26</f>
        <v>666.97199999999998</v>
      </c>
    </row>
    <row r="27" spans="1:10" s="120" customFormat="1" ht="20.100000000000001" customHeight="1">
      <c r="A27" s="12" t="s">
        <v>126</v>
      </c>
      <c r="B27" s="118">
        <v>2145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</row>
    <row r="28" spans="1:10" ht="59.25" customHeight="1">
      <c r="A28" s="12" t="s">
        <v>178</v>
      </c>
      <c r="B28" s="118" t="s">
        <v>164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</row>
    <row r="29" spans="1:10" ht="20.100000000000001" customHeight="1">
      <c r="A29" s="12" t="s">
        <v>10</v>
      </c>
      <c r="B29" s="118" t="s">
        <v>165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</row>
    <row r="30" spans="1:10" ht="20.100000000000001" customHeight="1">
      <c r="A30" s="252" t="s">
        <v>88</v>
      </c>
      <c r="B30" s="121">
        <v>2146</v>
      </c>
      <c r="C30" s="119">
        <v>1862.3999999999996</v>
      </c>
      <c r="D30" s="119">
        <v>1671.2000000000003</v>
      </c>
      <c r="E30" s="119">
        <v>1671.2000000000003</v>
      </c>
      <c r="F30" s="119">
        <f>'1.Фінансовий результат'!F40</f>
        <v>1868</v>
      </c>
      <c r="G30" s="119">
        <f>'1.Фінансовий результат'!G40</f>
        <v>467</v>
      </c>
      <c r="H30" s="119">
        <f>'1.Фінансовий результат'!H40</f>
        <v>467</v>
      </c>
      <c r="I30" s="119">
        <f>'1.Фінансовий результат'!I40</f>
        <v>467</v>
      </c>
      <c r="J30" s="119">
        <f>'1.Фінансовий результат'!J40</f>
        <v>467</v>
      </c>
    </row>
    <row r="31" spans="1:10" s="120" customFormat="1" ht="37.5">
      <c r="A31" s="122" t="s">
        <v>437</v>
      </c>
      <c r="B31" s="118" t="s">
        <v>460</v>
      </c>
      <c r="C31" s="192">
        <v>1528.6</v>
      </c>
      <c r="D31" s="192">
        <v>1325.3000000000002</v>
      </c>
      <c r="E31" s="192">
        <v>1325.3000000000002</v>
      </c>
      <c r="F31" s="192">
        <f>F30-F32-F33-F34-F35-F36-F37</f>
        <v>1490.4</v>
      </c>
      <c r="G31" s="192">
        <f t="shared" ref="G31:J31" si="1">G30-G32-G33-G34-G35-G36-G37</f>
        <v>372.6</v>
      </c>
      <c r="H31" s="192">
        <f t="shared" si="1"/>
        <v>372.6</v>
      </c>
      <c r="I31" s="192">
        <f t="shared" si="1"/>
        <v>372.6</v>
      </c>
      <c r="J31" s="192">
        <f t="shared" si="1"/>
        <v>372.6</v>
      </c>
    </row>
    <row r="32" spans="1:10" s="120" customFormat="1" ht="37.5">
      <c r="A32" s="122" t="s">
        <v>442</v>
      </c>
      <c r="B32" s="118" t="s">
        <v>461</v>
      </c>
      <c r="C32" s="192">
        <v>159.6</v>
      </c>
      <c r="D32" s="192">
        <v>161.20000000000002</v>
      </c>
      <c r="E32" s="192">
        <v>161.20000000000002</v>
      </c>
      <c r="F32" s="192">
        <v>170</v>
      </c>
      <c r="G32" s="192">
        <f>F32/4</f>
        <v>42.5</v>
      </c>
      <c r="H32" s="192">
        <f>G32</f>
        <v>42.5</v>
      </c>
      <c r="I32" s="192">
        <f>G32</f>
        <v>42.5</v>
      </c>
      <c r="J32" s="192">
        <f>I32</f>
        <v>42.5</v>
      </c>
    </row>
    <row r="33" spans="1:11" s="120" customFormat="1" ht="37.5">
      <c r="A33" s="122" t="s">
        <v>438</v>
      </c>
      <c r="B33" s="118" t="s">
        <v>462</v>
      </c>
      <c r="C33" s="192">
        <v>0.8</v>
      </c>
      <c r="D33" s="192">
        <v>0.7</v>
      </c>
      <c r="E33" s="192">
        <v>0.7</v>
      </c>
      <c r="F33" s="192">
        <v>1.6</v>
      </c>
      <c r="G33" s="192">
        <f>F33/4</f>
        <v>0.4</v>
      </c>
      <c r="H33" s="192">
        <f>G33</f>
        <v>0.4</v>
      </c>
      <c r="I33" s="192">
        <f>G33</f>
        <v>0.4</v>
      </c>
      <c r="J33" s="192">
        <f>I33</f>
        <v>0.4</v>
      </c>
    </row>
    <row r="34" spans="1:11" s="120" customFormat="1" ht="20.100000000000001" customHeight="1">
      <c r="A34" s="122" t="s">
        <v>439</v>
      </c>
      <c r="B34" s="118" t="s">
        <v>463</v>
      </c>
      <c r="C34" s="192">
        <v>54.3</v>
      </c>
      <c r="D34" s="192">
        <v>84</v>
      </c>
      <c r="E34" s="192">
        <v>84</v>
      </c>
      <c r="F34" s="192">
        <v>96</v>
      </c>
      <c r="G34" s="192">
        <f>F34/4</f>
        <v>24</v>
      </c>
      <c r="H34" s="192">
        <f>G34</f>
        <v>24</v>
      </c>
      <c r="I34" s="192">
        <f>H34</f>
        <v>24</v>
      </c>
      <c r="J34" s="192">
        <f>I34</f>
        <v>24</v>
      </c>
    </row>
    <row r="35" spans="1:11" s="120" customFormat="1" ht="20.100000000000001" customHeight="1">
      <c r="A35" s="122" t="s">
        <v>440</v>
      </c>
      <c r="B35" s="118" t="s">
        <v>464</v>
      </c>
      <c r="C35" s="192">
        <v>119.1</v>
      </c>
      <c r="D35" s="192">
        <v>100</v>
      </c>
      <c r="E35" s="192">
        <v>100</v>
      </c>
      <c r="F35" s="192">
        <v>110</v>
      </c>
      <c r="G35" s="192">
        <f>F35/4</f>
        <v>27.5</v>
      </c>
      <c r="H35" s="192">
        <f>G35</f>
        <v>27.5</v>
      </c>
      <c r="I35" s="192">
        <f>H35</f>
        <v>27.5</v>
      </c>
      <c r="J35" s="192">
        <f>I35</f>
        <v>27.5</v>
      </c>
    </row>
    <row r="36" spans="1:11" s="120" customFormat="1" ht="20.100000000000001" customHeight="1">
      <c r="A36" s="122" t="s">
        <v>441</v>
      </c>
      <c r="B36" s="118" t="s">
        <v>465</v>
      </c>
      <c r="C36" s="192">
        <v>0</v>
      </c>
      <c r="D36" s="192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1" ht="20.100000000000001" customHeight="1">
      <c r="A37" s="12" t="s">
        <v>68</v>
      </c>
      <c r="B37" s="118">
        <v>2147</v>
      </c>
      <c r="C37" s="192">
        <v>0</v>
      </c>
      <c r="D37" s="192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1" s="120" customFormat="1" ht="40.5" customHeight="1">
      <c r="A38" s="252" t="s">
        <v>64</v>
      </c>
      <c r="B38" s="121">
        <v>2150</v>
      </c>
      <c r="C38" s="119">
        <v>1957</v>
      </c>
      <c r="D38" s="119">
        <v>3074.4</v>
      </c>
      <c r="E38" s="119">
        <v>3074.4</v>
      </c>
      <c r="F38" s="119">
        <f>'1.Фінансовий результат'!F144</f>
        <v>3256</v>
      </c>
      <c r="G38" s="119">
        <f>'1.Фінансовий результат'!G144</f>
        <v>814</v>
      </c>
      <c r="H38" s="119">
        <f>'1.Фінансовий результат'!H144</f>
        <v>814</v>
      </c>
      <c r="I38" s="119">
        <f>'1.Фінансовий результат'!I144</f>
        <v>814</v>
      </c>
      <c r="J38" s="119">
        <f>'1.Фінансовий результат'!J144</f>
        <v>814</v>
      </c>
    </row>
    <row r="39" spans="1:11" s="120" customFormat="1" ht="21.75" customHeight="1">
      <c r="A39" s="252" t="s">
        <v>183</v>
      </c>
      <c r="B39" s="121">
        <v>2200</v>
      </c>
      <c r="C39" s="119">
        <f t="shared" ref="C39:E39" si="2">C18+C19+C20+C22+C38</f>
        <v>8062.9</v>
      </c>
      <c r="D39" s="119">
        <f t="shared" si="2"/>
        <v>12839.553199999998</v>
      </c>
      <c r="E39" s="119">
        <f t="shared" si="2"/>
        <v>12839.553199999998</v>
      </c>
      <c r="F39" s="119">
        <f t="shared" ref="F39:J39" si="3">F18+F19+F20+F22+F38</f>
        <v>13852.4946</v>
      </c>
      <c r="G39" s="119">
        <f t="shared" si="3"/>
        <v>3442.9902999999999</v>
      </c>
      <c r="H39" s="119">
        <f t="shared" si="3"/>
        <v>3470.2602999999999</v>
      </c>
      <c r="I39" s="119">
        <f t="shared" si="3"/>
        <v>3469.6220000000003</v>
      </c>
      <c r="J39" s="119">
        <f t="shared" si="3"/>
        <v>3469.6220000000003</v>
      </c>
    </row>
    <row r="40" spans="1:11" s="120" customFormat="1" ht="20.100000000000001" customHeight="1">
      <c r="A40" s="123"/>
      <c r="B40" s="124"/>
      <c r="C40" s="125"/>
      <c r="D40" s="125"/>
      <c r="E40" s="125"/>
      <c r="F40" s="125"/>
      <c r="G40" s="126"/>
      <c r="H40" s="126"/>
      <c r="I40" s="126"/>
      <c r="J40" s="126"/>
    </row>
    <row r="41" spans="1:11" s="120" customFormat="1" ht="20.100000000000001" customHeight="1">
      <c r="A41" s="123"/>
      <c r="B41" s="124"/>
      <c r="C41" s="125"/>
      <c r="D41" s="125"/>
      <c r="E41" s="125"/>
      <c r="F41" s="125"/>
      <c r="G41" s="126"/>
      <c r="H41" s="126"/>
      <c r="I41" s="126"/>
      <c r="J41" s="126"/>
    </row>
    <row r="42" spans="1:11" s="49" customFormat="1" ht="19.5" customHeight="1">
      <c r="A42" s="38" t="s">
        <v>631</v>
      </c>
      <c r="B42" s="1"/>
      <c r="C42" s="299" t="s">
        <v>81</v>
      </c>
      <c r="D42" s="299"/>
      <c r="E42" s="299"/>
      <c r="F42" s="300"/>
      <c r="G42" s="6"/>
      <c r="H42" s="301" t="s">
        <v>626</v>
      </c>
      <c r="I42" s="301"/>
      <c r="J42" s="301"/>
    </row>
    <row r="43" spans="1:11" s="2" customFormat="1" ht="15.75" customHeight="1">
      <c r="A43" s="39" t="s">
        <v>59</v>
      </c>
      <c r="B43" s="36"/>
      <c r="C43" s="294" t="s">
        <v>60</v>
      </c>
      <c r="D43" s="294"/>
      <c r="E43" s="294"/>
      <c r="F43" s="294"/>
      <c r="G43" s="37"/>
      <c r="H43" s="294" t="s">
        <v>78</v>
      </c>
      <c r="I43" s="294"/>
      <c r="J43" s="294"/>
    </row>
    <row r="44" spans="1:11" s="124" customFormat="1">
      <c r="A44" s="127"/>
      <c r="F44" s="115"/>
      <c r="G44" s="115"/>
      <c r="H44" s="115"/>
      <c r="I44" s="115"/>
      <c r="J44" s="115"/>
      <c r="K44" s="115"/>
    </row>
    <row r="45" spans="1:11" s="124" customFormat="1">
      <c r="A45" s="127"/>
      <c r="F45" s="115"/>
      <c r="G45" s="115"/>
      <c r="H45" s="115"/>
      <c r="I45" s="115"/>
      <c r="J45" s="115"/>
      <c r="K45" s="115"/>
    </row>
    <row r="46" spans="1:11" s="124" customFormat="1">
      <c r="A46" s="127"/>
      <c r="F46" s="115"/>
      <c r="G46" s="115"/>
      <c r="H46" s="115"/>
      <c r="I46" s="115"/>
      <c r="J46" s="115"/>
      <c r="K46" s="115"/>
    </row>
    <row r="47" spans="1:11" s="124" customFormat="1">
      <c r="A47" s="127"/>
      <c r="F47" s="115"/>
      <c r="G47" s="115"/>
      <c r="H47" s="115"/>
      <c r="I47" s="115"/>
      <c r="J47" s="115"/>
      <c r="K47" s="115"/>
    </row>
    <row r="48" spans="1:11" s="124" customFormat="1">
      <c r="A48" s="127"/>
      <c r="F48" s="115"/>
      <c r="G48" s="115"/>
      <c r="H48" s="115"/>
      <c r="I48" s="115"/>
      <c r="J48" s="115"/>
      <c r="K48" s="115"/>
    </row>
    <row r="49" spans="1:11" s="124" customFormat="1">
      <c r="A49" s="127"/>
      <c r="F49" s="115"/>
      <c r="G49" s="115"/>
      <c r="H49" s="115"/>
      <c r="I49" s="115"/>
      <c r="J49" s="115"/>
      <c r="K49" s="115"/>
    </row>
    <row r="50" spans="1:11" s="124" customFormat="1">
      <c r="A50" s="127"/>
      <c r="F50" s="115"/>
      <c r="G50" s="115"/>
      <c r="H50" s="115"/>
      <c r="I50" s="115"/>
      <c r="J50" s="115"/>
      <c r="K50" s="115"/>
    </row>
    <row r="51" spans="1:11" s="124" customFormat="1">
      <c r="A51" s="127"/>
      <c r="F51" s="115"/>
      <c r="G51" s="115"/>
      <c r="H51" s="115"/>
      <c r="I51" s="115"/>
      <c r="J51" s="115"/>
      <c r="K51" s="115"/>
    </row>
    <row r="52" spans="1:11" s="124" customFormat="1">
      <c r="A52" s="127"/>
      <c r="F52" s="115"/>
      <c r="G52" s="115"/>
      <c r="H52" s="115"/>
      <c r="I52" s="115"/>
      <c r="J52" s="115"/>
      <c r="K52" s="115"/>
    </row>
    <row r="53" spans="1:11" s="124" customFormat="1">
      <c r="A53" s="127"/>
      <c r="F53" s="115"/>
      <c r="G53" s="115"/>
      <c r="H53" s="115"/>
      <c r="I53" s="115"/>
      <c r="J53" s="115"/>
      <c r="K53" s="115"/>
    </row>
    <row r="54" spans="1:11" s="124" customFormat="1">
      <c r="A54" s="127"/>
      <c r="F54" s="115"/>
      <c r="G54" s="115"/>
      <c r="H54" s="115"/>
      <c r="I54" s="115"/>
      <c r="J54" s="115"/>
      <c r="K54" s="115"/>
    </row>
    <row r="55" spans="1:11" s="124" customFormat="1">
      <c r="A55" s="127"/>
      <c r="F55" s="115"/>
      <c r="G55" s="115"/>
      <c r="H55" s="115"/>
      <c r="I55" s="115"/>
      <c r="J55" s="115"/>
      <c r="K55" s="115"/>
    </row>
    <row r="56" spans="1:11" s="124" customFormat="1">
      <c r="A56" s="127"/>
      <c r="F56" s="115"/>
      <c r="G56" s="115"/>
      <c r="H56" s="115"/>
      <c r="I56" s="115"/>
      <c r="J56" s="115"/>
      <c r="K56" s="115"/>
    </row>
    <row r="57" spans="1:11" s="124" customFormat="1">
      <c r="A57" s="127"/>
      <c r="F57" s="115"/>
      <c r="G57" s="115"/>
      <c r="H57" s="115"/>
      <c r="I57" s="115"/>
      <c r="J57" s="115"/>
      <c r="K57" s="115"/>
    </row>
    <row r="58" spans="1:11" s="124" customFormat="1">
      <c r="A58" s="127"/>
      <c r="F58" s="115"/>
      <c r="G58" s="115"/>
      <c r="H58" s="115"/>
      <c r="I58" s="115"/>
      <c r="J58" s="115"/>
      <c r="K58" s="115"/>
    </row>
    <row r="59" spans="1:11" s="124" customFormat="1">
      <c r="A59" s="127"/>
      <c r="F59" s="115"/>
      <c r="G59" s="115"/>
      <c r="H59" s="115"/>
      <c r="I59" s="115"/>
      <c r="J59" s="115"/>
      <c r="K59" s="115"/>
    </row>
    <row r="60" spans="1:11" s="124" customFormat="1">
      <c r="A60" s="127"/>
      <c r="F60" s="115"/>
      <c r="G60" s="115"/>
      <c r="H60" s="115"/>
      <c r="I60" s="115"/>
      <c r="J60" s="115"/>
      <c r="K60" s="115"/>
    </row>
    <row r="61" spans="1:11" s="124" customFormat="1">
      <c r="A61" s="127"/>
      <c r="F61" s="115"/>
      <c r="G61" s="115"/>
      <c r="H61" s="115"/>
      <c r="I61" s="115"/>
      <c r="J61" s="115"/>
      <c r="K61" s="115"/>
    </row>
    <row r="62" spans="1:11" s="124" customFormat="1">
      <c r="A62" s="127"/>
      <c r="F62" s="115"/>
      <c r="G62" s="115"/>
      <c r="H62" s="115"/>
      <c r="I62" s="115"/>
      <c r="J62" s="115"/>
      <c r="K62" s="115"/>
    </row>
    <row r="63" spans="1:11" s="124" customFormat="1">
      <c r="A63" s="127"/>
      <c r="F63" s="115"/>
      <c r="G63" s="115"/>
      <c r="H63" s="115"/>
      <c r="I63" s="115"/>
      <c r="J63" s="115"/>
      <c r="K63" s="115"/>
    </row>
    <row r="64" spans="1:11" s="124" customFormat="1">
      <c r="A64" s="127"/>
      <c r="F64" s="115"/>
      <c r="G64" s="115"/>
      <c r="H64" s="115"/>
      <c r="I64" s="115"/>
      <c r="J64" s="115"/>
      <c r="K64" s="115"/>
    </row>
    <row r="65" spans="1:11" s="124" customFormat="1">
      <c r="A65" s="127"/>
      <c r="F65" s="115"/>
      <c r="G65" s="115"/>
      <c r="H65" s="115"/>
      <c r="I65" s="115"/>
      <c r="J65" s="115"/>
      <c r="K65" s="115"/>
    </row>
    <row r="66" spans="1:11" s="124" customFormat="1">
      <c r="A66" s="127"/>
      <c r="F66" s="115"/>
      <c r="G66" s="115"/>
      <c r="H66" s="115"/>
      <c r="I66" s="115"/>
      <c r="J66" s="115"/>
      <c r="K66" s="115"/>
    </row>
    <row r="67" spans="1:11" s="124" customFormat="1">
      <c r="A67" s="127"/>
      <c r="F67" s="115"/>
      <c r="G67" s="115"/>
      <c r="H67" s="115"/>
      <c r="I67" s="115"/>
      <c r="J67" s="115"/>
      <c r="K67" s="115"/>
    </row>
    <row r="68" spans="1:11" s="124" customFormat="1">
      <c r="A68" s="127"/>
      <c r="F68" s="115"/>
      <c r="G68" s="115"/>
      <c r="H68" s="115"/>
      <c r="I68" s="115"/>
      <c r="J68" s="115"/>
      <c r="K68" s="115"/>
    </row>
    <row r="69" spans="1:11" s="124" customFormat="1">
      <c r="A69" s="127"/>
      <c r="F69" s="115"/>
      <c r="G69" s="115"/>
      <c r="H69" s="115"/>
      <c r="I69" s="115"/>
      <c r="J69" s="115"/>
      <c r="K69" s="115"/>
    </row>
    <row r="70" spans="1:11" s="124" customFormat="1">
      <c r="A70" s="127"/>
      <c r="F70" s="115"/>
      <c r="G70" s="115"/>
      <c r="H70" s="115"/>
      <c r="I70" s="115"/>
      <c r="J70" s="115"/>
      <c r="K70" s="115"/>
    </row>
    <row r="71" spans="1:11" s="124" customFormat="1">
      <c r="A71" s="127"/>
      <c r="F71" s="115"/>
      <c r="G71" s="115"/>
      <c r="H71" s="115"/>
      <c r="I71" s="115"/>
      <c r="J71" s="115"/>
      <c r="K71" s="115"/>
    </row>
    <row r="72" spans="1:11" s="124" customFormat="1">
      <c r="A72" s="127"/>
      <c r="F72" s="115"/>
      <c r="G72" s="115"/>
      <c r="H72" s="115"/>
      <c r="I72" s="115"/>
      <c r="J72" s="115"/>
      <c r="K72" s="115"/>
    </row>
    <row r="73" spans="1:11" s="124" customFormat="1">
      <c r="A73" s="127"/>
      <c r="F73" s="115"/>
      <c r="G73" s="115"/>
      <c r="H73" s="115"/>
      <c r="I73" s="115"/>
      <c r="J73" s="115"/>
      <c r="K73" s="115"/>
    </row>
    <row r="74" spans="1:11" s="124" customFormat="1">
      <c r="A74" s="127"/>
      <c r="F74" s="115"/>
      <c r="G74" s="115"/>
      <c r="H74" s="115"/>
      <c r="I74" s="115"/>
      <c r="J74" s="115"/>
      <c r="K74" s="115"/>
    </row>
    <row r="75" spans="1:11" s="124" customFormat="1">
      <c r="A75" s="127"/>
      <c r="F75" s="115"/>
      <c r="G75" s="115"/>
      <c r="H75" s="115"/>
      <c r="I75" s="115"/>
      <c r="J75" s="115"/>
      <c r="K75" s="115"/>
    </row>
    <row r="76" spans="1:11" s="124" customFormat="1">
      <c r="A76" s="127"/>
      <c r="F76" s="115"/>
      <c r="G76" s="115"/>
      <c r="H76" s="115"/>
      <c r="I76" s="115"/>
      <c r="J76" s="115"/>
      <c r="K76" s="115"/>
    </row>
    <row r="77" spans="1:11" s="124" customFormat="1">
      <c r="A77" s="127"/>
      <c r="F77" s="115"/>
      <c r="G77" s="115"/>
      <c r="H77" s="115"/>
      <c r="I77" s="115"/>
      <c r="J77" s="115"/>
      <c r="K77" s="115"/>
    </row>
    <row r="78" spans="1:11" s="124" customFormat="1">
      <c r="A78" s="127"/>
      <c r="F78" s="115"/>
      <c r="G78" s="115"/>
      <c r="H78" s="115"/>
      <c r="I78" s="115"/>
      <c r="J78" s="115"/>
      <c r="K78" s="115"/>
    </row>
    <row r="79" spans="1:11" s="124" customFormat="1">
      <c r="A79" s="127"/>
      <c r="F79" s="115"/>
      <c r="G79" s="115"/>
      <c r="H79" s="115"/>
      <c r="I79" s="115"/>
      <c r="J79" s="115"/>
      <c r="K79" s="115"/>
    </row>
    <row r="80" spans="1:11" s="124" customFormat="1">
      <c r="A80" s="127"/>
      <c r="F80" s="115"/>
      <c r="G80" s="115"/>
      <c r="H80" s="115"/>
      <c r="I80" s="115"/>
      <c r="J80" s="115"/>
      <c r="K80" s="115"/>
    </row>
    <row r="81" spans="1:11" s="124" customFormat="1">
      <c r="A81" s="127"/>
      <c r="F81" s="115"/>
      <c r="G81" s="115"/>
      <c r="H81" s="115"/>
      <c r="I81" s="115"/>
      <c r="J81" s="115"/>
      <c r="K81" s="115"/>
    </row>
    <row r="82" spans="1:11" s="124" customFormat="1">
      <c r="A82" s="127"/>
      <c r="F82" s="115"/>
      <c r="G82" s="115"/>
      <c r="H82" s="115"/>
      <c r="I82" s="115"/>
      <c r="J82" s="115"/>
      <c r="K82" s="115"/>
    </row>
    <row r="83" spans="1:11" s="124" customFormat="1">
      <c r="A83" s="127"/>
      <c r="F83" s="115"/>
      <c r="G83" s="115"/>
      <c r="H83" s="115"/>
      <c r="I83" s="115"/>
      <c r="J83" s="115"/>
      <c r="K83" s="115"/>
    </row>
    <row r="84" spans="1:11" s="124" customFormat="1">
      <c r="A84" s="127"/>
      <c r="F84" s="115"/>
      <c r="G84" s="115"/>
      <c r="H84" s="115"/>
      <c r="I84" s="115"/>
      <c r="J84" s="115"/>
      <c r="K84" s="115"/>
    </row>
    <row r="85" spans="1:11" s="124" customFormat="1">
      <c r="A85" s="127"/>
      <c r="F85" s="115"/>
      <c r="G85" s="115"/>
      <c r="H85" s="115"/>
      <c r="I85" s="115"/>
      <c r="J85" s="115"/>
      <c r="K85" s="115"/>
    </row>
    <row r="86" spans="1:11" s="124" customFormat="1">
      <c r="A86" s="127"/>
      <c r="F86" s="115"/>
      <c r="G86" s="115"/>
      <c r="H86" s="115"/>
      <c r="I86" s="115"/>
      <c r="J86" s="115"/>
      <c r="K86" s="115"/>
    </row>
    <row r="87" spans="1:11" s="124" customFormat="1">
      <c r="A87" s="127"/>
      <c r="F87" s="115"/>
      <c r="G87" s="115"/>
      <c r="H87" s="115"/>
      <c r="I87" s="115"/>
      <c r="J87" s="115"/>
      <c r="K87" s="115"/>
    </row>
    <row r="88" spans="1:11" s="124" customFormat="1">
      <c r="A88" s="127"/>
      <c r="F88" s="115"/>
      <c r="G88" s="115"/>
      <c r="H88" s="115"/>
      <c r="I88" s="115"/>
      <c r="J88" s="115"/>
      <c r="K88" s="115"/>
    </row>
    <row r="89" spans="1:11" s="124" customFormat="1">
      <c r="A89" s="127"/>
      <c r="F89" s="115"/>
      <c r="G89" s="115"/>
      <c r="H89" s="115"/>
      <c r="I89" s="115"/>
      <c r="J89" s="115"/>
      <c r="K89" s="115"/>
    </row>
    <row r="90" spans="1:11" s="124" customFormat="1">
      <c r="A90" s="127"/>
      <c r="F90" s="115"/>
      <c r="G90" s="115"/>
      <c r="H90" s="115"/>
      <c r="I90" s="115"/>
      <c r="J90" s="115"/>
      <c r="K90" s="115"/>
    </row>
    <row r="91" spans="1:11" s="124" customFormat="1">
      <c r="A91" s="127"/>
      <c r="F91" s="115"/>
      <c r="G91" s="115"/>
      <c r="H91" s="115"/>
      <c r="I91" s="115"/>
      <c r="J91" s="115"/>
      <c r="K91" s="115"/>
    </row>
    <row r="92" spans="1:11" s="124" customFormat="1">
      <c r="A92" s="127"/>
      <c r="F92" s="115"/>
      <c r="G92" s="115"/>
      <c r="H92" s="115"/>
      <c r="I92" s="115"/>
      <c r="J92" s="115"/>
      <c r="K92" s="115"/>
    </row>
    <row r="93" spans="1:11" s="124" customFormat="1">
      <c r="A93" s="127"/>
      <c r="F93" s="115"/>
      <c r="G93" s="115"/>
      <c r="H93" s="115"/>
      <c r="I93" s="115"/>
      <c r="J93" s="115"/>
      <c r="K93" s="115"/>
    </row>
    <row r="94" spans="1:11" s="124" customFormat="1">
      <c r="A94" s="127"/>
      <c r="F94" s="115"/>
      <c r="G94" s="115"/>
      <c r="H94" s="115"/>
      <c r="I94" s="115"/>
      <c r="J94" s="115"/>
      <c r="K94" s="115"/>
    </row>
    <row r="95" spans="1:11" s="124" customFormat="1">
      <c r="A95" s="127"/>
      <c r="F95" s="115"/>
      <c r="G95" s="115"/>
      <c r="H95" s="115"/>
      <c r="I95" s="115"/>
      <c r="J95" s="115"/>
      <c r="K95" s="115"/>
    </row>
    <row r="96" spans="1:11" s="124" customFormat="1">
      <c r="A96" s="127"/>
      <c r="F96" s="115"/>
      <c r="G96" s="115"/>
      <c r="H96" s="115"/>
      <c r="I96" s="115"/>
      <c r="J96" s="115"/>
      <c r="K96" s="115"/>
    </row>
    <row r="97" spans="1:11" s="124" customFormat="1">
      <c r="A97" s="127"/>
      <c r="F97" s="115"/>
      <c r="G97" s="115"/>
      <c r="H97" s="115"/>
      <c r="I97" s="115"/>
      <c r="J97" s="115"/>
      <c r="K97" s="115"/>
    </row>
    <row r="98" spans="1:11" s="124" customFormat="1">
      <c r="A98" s="127"/>
      <c r="F98" s="115"/>
      <c r="G98" s="115"/>
      <c r="H98" s="115"/>
      <c r="I98" s="115"/>
      <c r="J98" s="115"/>
      <c r="K98" s="115"/>
    </row>
    <row r="99" spans="1:11" s="124" customFormat="1">
      <c r="A99" s="127"/>
      <c r="F99" s="115"/>
      <c r="G99" s="115"/>
      <c r="H99" s="115"/>
      <c r="I99" s="115"/>
      <c r="J99" s="115"/>
      <c r="K99" s="115"/>
    </row>
    <row r="100" spans="1:11" s="124" customFormat="1">
      <c r="A100" s="127"/>
      <c r="F100" s="115"/>
      <c r="G100" s="115"/>
      <c r="H100" s="115"/>
      <c r="I100" s="115"/>
      <c r="J100" s="115"/>
      <c r="K100" s="115"/>
    </row>
    <row r="101" spans="1:11" s="124" customFormat="1">
      <c r="A101" s="127"/>
      <c r="F101" s="115"/>
      <c r="G101" s="115"/>
      <c r="H101" s="115"/>
      <c r="I101" s="115"/>
      <c r="J101" s="115"/>
      <c r="K101" s="115"/>
    </row>
    <row r="102" spans="1:11" s="124" customFormat="1">
      <c r="A102" s="127"/>
      <c r="F102" s="115"/>
      <c r="G102" s="115"/>
      <c r="H102" s="115"/>
      <c r="I102" s="115"/>
      <c r="J102" s="115"/>
      <c r="K102" s="115"/>
    </row>
    <row r="103" spans="1:11" s="124" customFormat="1">
      <c r="A103" s="127"/>
      <c r="F103" s="115"/>
      <c r="G103" s="115"/>
      <c r="H103" s="115"/>
      <c r="I103" s="115"/>
      <c r="J103" s="115"/>
      <c r="K103" s="115"/>
    </row>
    <row r="104" spans="1:11" s="124" customFormat="1">
      <c r="A104" s="127"/>
      <c r="F104" s="115"/>
      <c r="G104" s="115"/>
      <c r="H104" s="115"/>
      <c r="I104" s="115"/>
      <c r="J104" s="115"/>
      <c r="K104" s="115"/>
    </row>
    <row r="105" spans="1:11" s="124" customFormat="1">
      <c r="A105" s="127"/>
      <c r="F105" s="115"/>
      <c r="G105" s="115"/>
      <c r="H105" s="115"/>
      <c r="I105" s="115"/>
      <c r="J105" s="115"/>
      <c r="K105" s="115"/>
    </row>
    <row r="106" spans="1:11" s="124" customFormat="1">
      <c r="A106" s="127"/>
      <c r="F106" s="115"/>
      <c r="G106" s="115"/>
      <c r="H106" s="115"/>
      <c r="I106" s="115"/>
      <c r="J106" s="115"/>
      <c r="K106" s="115"/>
    </row>
    <row r="107" spans="1:11" s="124" customFormat="1">
      <c r="A107" s="127"/>
      <c r="F107" s="115"/>
      <c r="G107" s="115"/>
      <c r="H107" s="115"/>
      <c r="I107" s="115"/>
      <c r="J107" s="115"/>
      <c r="K107" s="115"/>
    </row>
    <row r="108" spans="1:11" s="124" customFormat="1">
      <c r="A108" s="127"/>
      <c r="F108" s="115"/>
      <c r="G108" s="115"/>
      <c r="H108" s="115"/>
      <c r="I108" s="115"/>
      <c r="J108" s="115"/>
      <c r="K108" s="115"/>
    </row>
    <row r="109" spans="1:11" s="124" customFormat="1">
      <c r="A109" s="127"/>
      <c r="F109" s="115"/>
      <c r="G109" s="115"/>
      <c r="H109" s="115"/>
      <c r="I109" s="115"/>
      <c r="J109" s="115"/>
      <c r="K109" s="115"/>
    </row>
    <row r="110" spans="1:11" s="124" customFormat="1">
      <c r="A110" s="127"/>
      <c r="F110" s="115"/>
      <c r="G110" s="115"/>
      <c r="H110" s="115"/>
      <c r="I110" s="115"/>
      <c r="J110" s="115"/>
      <c r="K110" s="115"/>
    </row>
    <row r="111" spans="1:11" s="124" customFormat="1">
      <c r="A111" s="127"/>
      <c r="F111" s="115"/>
      <c r="G111" s="115"/>
      <c r="H111" s="115"/>
      <c r="I111" s="115"/>
      <c r="J111" s="115"/>
      <c r="K111" s="115"/>
    </row>
    <row r="112" spans="1:11" s="124" customFormat="1">
      <c r="A112" s="127"/>
      <c r="F112" s="115"/>
      <c r="G112" s="115"/>
      <c r="H112" s="115"/>
      <c r="I112" s="115"/>
      <c r="J112" s="115"/>
      <c r="K112" s="115"/>
    </row>
    <row r="113" spans="1:11" s="124" customFormat="1">
      <c r="A113" s="127"/>
      <c r="F113" s="115"/>
      <c r="G113" s="115"/>
      <c r="H113" s="115"/>
      <c r="I113" s="115"/>
      <c r="J113" s="115"/>
      <c r="K113" s="115"/>
    </row>
    <row r="114" spans="1:11" s="124" customFormat="1">
      <c r="A114" s="127"/>
      <c r="F114" s="115"/>
      <c r="G114" s="115"/>
      <c r="H114" s="115"/>
      <c r="I114" s="115"/>
      <c r="J114" s="115"/>
      <c r="K114" s="115"/>
    </row>
    <row r="115" spans="1:11" s="124" customFormat="1">
      <c r="A115" s="127"/>
      <c r="F115" s="115"/>
      <c r="G115" s="115"/>
      <c r="H115" s="115"/>
      <c r="I115" s="115"/>
      <c r="J115" s="115"/>
      <c r="K115" s="115"/>
    </row>
    <row r="116" spans="1:11" s="124" customFormat="1">
      <c r="A116" s="127"/>
      <c r="F116" s="115"/>
      <c r="G116" s="115"/>
      <c r="H116" s="115"/>
      <c r="I116" s="115"/>
      <c r="J116" s="115"/>
      <c r="K116" s="115"/>
    </row>
    <row r="117" spans="1:11" s="124" customFormat="1">
      <c r="A117" s="127"/>
      <c r="F117" s="115"/>
      <c r="G117" s="115"/>
      <c r="H117" s="115"/>
      <c r="I117" s="115"/>
      <c r="J117" s="115"/>
      <c r="K117" s="115"/>
    </row>
    <row r="118" spans="1:11" s="124" customFormat="1">
      <c r="A118" s="127"/>
      <c r="F118" s="115"/>
      <c r="G118" s="115"/>
      <c r="H118" s="115"/>
      <c r="I118" s="115"/>
      <c r="J118" s="115"/>
      <c r="K118" s="115"/>
    </row>
    <row r="119" spans="1:11" s="124" customFormat="1">
      <c r="A119" s="127"/>
      <c r="F119" s="115"/>
      <c r="G119" s="115"/>
      <c r="H119" s="115"/>
      <c r="I119" s="115"/>
      <c r="J119" s="115"/>
      <c r="K119" s="115"/>
    </row>
    <row r="120" spans="1:11" s="124" customFormat="1">
      <c r="A120" s="127"/>
      <c r="F120" s="115"/>
      <c r="G120" s="115"/>
      <c r="H120" s="115"/>
      <c r="I120" s="115"/>
      <c r="J120" s="115"/>
      <c r="K120" s="115"/>
    </row>
    <row r="121" spans="1:11" s="124" customFormat="1">
      <c r="A121" s="127"/>
      <c r="F121" s="115"/>
      <c r="G121" s="115"/>
      <c r="H121" s="115"/>
      <c r="I121" s="115"/>
      <c r="J121" s="115"/>
      <c r="K121" s="115"/>
    </row>
    <row r="122" spans="1:11" s="124" customFormat="1">
      <c r="A122" s="127"/>
      <c r="F122" s="115"/>
      <c r="G122" s="115"/>
      <c r="H122" s="115"/>
      <c r="I122" s="115"/>
      <c r="J122" s="115"/>
      <c r="K122" s="115"/>
    </row>
    <row r="123" spans="1:11" s="124" customFormat="1">
      <c r="A123" s="127"/>
      <c r="F123" s="115"/>
      <c r="G123" s="115"/>
      <c r="H123" s="115"/>
      <c r="I123" s="115"/>
      <c r="J123" s="115"/>
      <c r="K123" s="115"/>
    </row>
    <row r="124" spans="1:11" s="124" customFormat="1">
      <c r="A124" s="127"/>
      <c r="F124" s="115"/>
      <c r="G124" s="115"/>
      <c r="H124" s="115"/>
      <c r="I124" s="115"/>
      <c r="J124" s="115"/>
      <c r="K124" s="115"/>
    </row>
    <row r="125" spans="1:11" s="124" customFormat="1">
      <c r="A125" s="127"/>
      <c r="F125" s="115"/>
      <c r="G125" s="115"/>
      <c r="H125" s="115"/>
      <c r="I125" s="115"/>
      <c r="J125" s="115"/>
      <c r="K125" s="115"/>
    </row>
    <row r="126" spans="1:11" s="124" customFormat="1">
      <c r="A126" s="127"/>
      <c r="F126" s="115"/>
      <c r="G126" s="115"/>
      <c r="H126" s="115"/>
      <c r="I126" s="115"/>
      <c r="J126" s="115"/>
      <c r="K126" s="115"/>
    </row>
    <row r="127" spans="1:11" s="124" customFormat="1">
      <c r="A127" s="127"/>
      <c r="F127" s="115"/>
      <c r="G127" s="115"/>
      <c r="H127" s="115"/>
      <c r="I127" s="115"/>
      <c r="J127" s="115"/>
      <c r="K127" s="115"/>
    </row>
    <row r="128" spans="1:11" s="124" customFormat="1">
      <c r="A128" s="127"/>
      <c r="F128" s="115"/>
      <c r="G128" s="115"/>
      <c r="H128" s="115"/>
      <c r="I128" s="115"/>
      <c r="J128" s="115"/>
      <c r="K128" s="115"/>
    </row>
    <row r="129" spans="1:11" s="124" customFormat="1">
      <c r="A129" s="127"/>
      <c r="F129" s="115"/>
      <c r="G129" s="115"/>
      <c r="H129" s="115"/>
      <c r="I129" s="115"/>
      <c r="J129" s="115"/>
      <c r="K129" s="115"/>
    </row>
    <row r="130" spans="1:11" s="124" customFormat="1">
      <c r="A130" s="127"/>
      <c r="F130" s="115"/>
      <c r="G130" s="115"/>
      <c r="H130" s="115"/>
      <c r="I130" s="115"/>
      <c r="J130" s="115"/>
      <c r="K130" s="115"/>
    </row>
    <row r="131" spans="1:11" s="124" customFormat="1">
      <c r="A131" s="127"/>
      <c r="F131" s="115"/>
      <c r="G131" s="115"/>
      <c r="H131" s="115"/>
      <c r="I131" s="115"/>
      <c r="J131" s="115"/>
      <c r="K131" s="115"/>
    </row>
    <row r="132" spans="1:11" s="124" customFormat="1">
      <c r="A132" s="127"/>
      <c r="F132" s="115"/>
      <c r="G132" s="115"/>
      <c r="H132" s="115"/>
      <c r="I132" s="115"/>
      <c r="J132" s="115"/>
      <c r="K132" s="115"/>
    </row>
    <row r="133" spans="1:11" s="124" customFormat="1">
      <c r="A133" s="127"/>
      <c r="F133" s="115"/>
      <c r="G133" s="115"/>
      <c r="H133" s="115"/>
      <c r="I133" s="115"/>
      <c r="J133" s="115"/>
      <c r="K133" s="115"/>
    </row>
    <row r="134" spans="1:11" s="124" customFormat="1">
      <c r="A134" s="127"/>
      <c r="F134" s="115"/>
      <c r="G134" s="115"/>
      <c r="H134" s="115"/>
      <c r="I134" s="115"/>
      <c r="J134" s="115"/>
      <c r="K134" s="115"/>
    </row>
    <row r="135" spans="1:11" s="124" customFormat="1">
      <c r="A135" s="127"/>
      <c r="F135" s="115"/>
      <c r="G135" s="115"/>
      <c r="H135" s="115"/>
      <c r="I135" s="115"/>
      <c r="J135" s="115"/>
      <c r="K135" s="115"/>
    </row>
    <row r="136" spans="1:11" s="124" customFormat="1">
      <c r="A136" s="127"/>
      <c r="F136" s="115"/>
      <c r="G136" s="115"/>
      <c r="H136" s="115"/>
      <c r="I136" s="115"/>
      <c r="J136" s="115"/>
      <c r="K136" s="115"/>
    </row>
    <row r="137" spans="1:11" s="124" customFormat="1">
      <c r="A137" s="127"/>
      <c r="F137" s="115"/>
      <c r="G137" s="115"/>
      <c r="H137" s="115"/>
      <c r="I137" s="115"/>
      <c r="J137" s="115"/>
      <c r="K137" s="115"/>
    </row>
    <row r="138" spans="1:11" s="124" customFormat="1">
      <c r="A138" s="127"/>
      <c r="F138" s="115"/>
      <c r="G138" s="115"/>
      <c r="H138" s="115"/>
      <c r="I138" s="115"/>
      <c r="J138" s="115"/>
      <c r="K138" s="115"/>
    </row>
    <row r="139" spans="1:11" s="124" customFormat="1">
      <c r="A139" s="127"/>
      <c r="F139" s="115"/>
      <c r="G139" s="115"/>
      <c r="H139" s="115"/>
      <c r="I139" s="115"/>
      <c r="J139" s="115"/>
      <c r="K139" s="115"/>
    </row>
    <row r="140" spans="1:11" s="124" customFormat="1">
      <c r="A140" s="127"/>
      <c r="F140" s="115"/>
      <c r="G140" s="115"/>
      <c r="H140" s="115"/>
      <c r="I140" s="115"/>
      <c r="J140" s="115"/>
      <c r="K140" s="115"/>
    </row>
    <row r="141" spans="1:11" s="124" customFormat="1">
      <c r="A141" s="127"/>
      <c r="F141" s="115"/>
      <c r="G141" s="115"/>
      <c r="H141" s="115"/>
      <c r="I141" s="115"/>
      <c r="J141" s="115"/>
      <c r="K141" s="115"/>
    </row>
    <row r="142" spans="1:11" s="124" customFormat="1">
      <c r="A142" s="127"/>
      <c r="F142" s="115"/>
      <c r="G142" s="115"/>
      <c r="H142" s="115"/>
      <c r="I142" s="115"/>
      <c r="J142" s="115"/>
      <c r="K142" s="115"/>
    </row>
    <row r="143" spans="1:11" s="124" customFormat="1">
      <c r="A143" s="127"/>
      <c r="F143" s="115"/>
      <c r="G143" s="115"/>
      <c r="H143" s="115"/>
      <c r="I143" s="115"/>
      <c r="J143" s="115"/>
      <c r="K143" s="115"/>
    </row>
    <row r="144" spans="1:11" s="124" customFormat="1">
      <c r="A144" s="127"/>
      <c r="F144" s="115"/>
      <c r="G144" s="115"/>
      <c r="H144" s="115"/>
      <c r="I144" s="115"/>
      <c r="J144" s="115"/>
      <c r="K144" s="115"/>
    </row>
    <row r="145" spans="1:11" s="124" customFormat="1">
      <c r="A145" s="127"/>
      <c r="F145" s="115"/>
      <c r="G145" s="115"/>
      <c r="H145" s="115"/>
      <c r="I145" s="115"/>
      <c r="J145" s="115"/>
      <c r="K145" s="115"/>
    </row>
    <row r="146" spans="1:11" s="124" customFormat="1">
      <c r="A146" s="127"/>
      <c r="F146" s="115"/>
      <c r="G146" s="115"/>
      <c r="H146" s="115"/>
      <c r="I146" s="115"/>
      <c r="J146" s="115"/>
      <c r="K146" s="115"/>
    </row>
    <row r="147" spans="1:11" s="124" customFormat="1">
      <c r="A147" s="127"/>
      <c r="F147" s="115"/>
      <c r="G147" s="115"/>
      <c r="H147" s="115"/>
      <c r="I147" s="115"/>
      <c r="J147" s="115"/>
      <c r="K147" s="115"/>
    </row>
    <row r="148" spans="1:11" s="124" customFormat="1">
      <c r="A148" s="127"/>
      <c r="F148" s="115"/>
      <c r="G148" s="115"/>
      <c r="H148" s="115"/>
      <c r="I148" s="115"/>
      <c r="J148" s="115"/>
      <c r="K148" s="115"/>
    </row>
    <row r="149" spans="1:11" s="124" customFormat="1">
      <c r="A149" s="127"/>
      <c r="F149" s="115"/>
      <c r="G149" s="115"/>
      <c r="H149" s="115"/>
      <c r="I149" s="115"/>
      <c r="J149" s="115"/>
      <c r="K149" s="115"/>
    </row>
    <row r="150" spans="1:11" s="124" customFormat="1">
      <c r="A150" s="127"/>
      <c r="F150" s="115"/>
      <c r="G150" s="115"/>
      <c r="H150" s="115"/>
      <c r="I150" s="115"/>
      <c r="J150" s="115"/>
      <c r="K150" s="115"/>
    </row>
    <row r="151" spans="1:11" s="124" customFormat="1">
      <c r="A151" s="127"/>
      <c r="F151" s="115"/>
      <c r="G151" s="115"/>
      <c r="H151" s="115"/>
      <c r="I151" s="115"/>
      <c r="J151" s="115"/>
      <c r="K151" s="115"/>
    </row>
    <row r="152" spans="1:11" s="124" customFormat="1">
      <c r="A152" s="127"/>
      <c r="F152" s="115"/>
      <c r="G152" s="115"/>
      <c r="H152" s="115"/>
      <c r="I152" s="115"/>
      <c r="J152" s="115"/>
      <c r="K152" s="115"/>
    </row>
    <row r="153" spans="1:11" s="124" customFormat="1">
      <c r="A153" s="127"/>
      <c r="F153" s="115"/>
      <c r="G153" s="115"/>
      <c r="H153" s="115"/>
      <c r="I153" s="115"/>
      <c r="J153" s="115"/>
      <c r="K153" s="115"/>
    </row>
    <row r="154" spans="1:11" s="124" customFormat="1">
      <c r="A154" s="127"/>
      <c r="F154" s="115"/>
      <c r="G154" s="115"/>
      <c r="H154" s="115"/>
      <c r="I154" s="115"/>
      <c r="J154" s="115"/>
      <c r="K154" s="115"/>
    </row>
    <row r="155" spans="1:11" s="124" customFormat="1">
      <c r="A155" s="127"/>
      <c r="F155" s="115"/>
      <c r="G155" s="115"/>
      <c r="H155" s="115"/>
      <c r="I155" s="115"/>
      <c r="J155" s="115"/>
      <c r="K155" s="115"/>
    </row>
    <row r="156" spans="1:11" s="124" customFormat="1">
      <c r="A156" s="127"/>
      <c r="F156" s="115"/>
      <c r="G156" s="115"/>
      <c r="H156" s="115"/>
      <c r="I156" s="115"/>
      <c r="J156" s="115"/>
      <c r="K156" s="115"/>
    </row>
    <row r="157" spans="1:11" s="124" customFormat="1">
      <c r="A157" s="127"/>
      <c r="F157" s="115"/>
      <c r="G157" s="115"/>
      <c r="H157" s="115"/>
      <c r="I157" s="115"/>
      <c r="J157" s="115"/>
      <c r="K157" s="115"/>
    </row>
    <row r="158" spans="1:11" s="124" customFormat="1">
      <c r="A158" s="127"/>
      <c r="F158" s="115"/>
      <c r="G158" s="115"/>
      <c r="H158" s="115"/>
      <c r="I158" s="115"/>
      <c r="J158" s="115"/>
      <c r="K158" s="115"/>
    </row>
    <row r="159" spans="1:11" s="124" customFormat="1">
      <c r="A159" s="127"/>
      <c r="F159" s="115"/>
      <c r="G159" s="115"/>
      <c r="H159" s="115"/>
      <c r="I159" s="115"/>
      <c r="J159" s="115"/>
      <c r="K159" s="115"/>
    </row>
    <row r="160" spans="1:11" s="124" customFormat="1">
      <c r="A160" s="127"/>
      <c r="F160" s="115"/>
      <c r="G160" s="115"/>
      <c r="H160" s="115"/>
      <c r="I160" s="115"/>
      <c r="J160" s="115"/>
      <c r="K160" s="115"/>
    </row>
    <row r="161" spans="1:11" s="124" customFormat="1">
      <c r="A161" s="127"/>
      <c r="F161" s="115"/>
      <c r="G161" s="115"/>
      <c r="H161" s="115"/>
      <c r="I161" s="115"/>
      <c r="J161" s="115"/>
      <c r="K161" s="115"/>
    </row>
    <row r="162" spans="1:11" s="124" customFormat="1">
      <c r="A162" s="127"/>
      <c r="F162" s="115"/>
      <c r="G162" s="115"/>
      <c r="H162" s="115"/>
      <c r="I162" s="115"/>
      <c r="J162" s="115"/>
      <c r="K162" s="115"/>
    </row>
    <row r="163" spans="1:11" s="124" customFormat="1">
      <c r="A163" s="127"/>
      <c r="F163" s="115"/>
      <c r="G163" s="115"/>
      <c r="H163" s="115"/>
      <c r="I163" s="115"/>
      <c r="J163" s="115"/>
      <c r="K163" s="115"/>
    </row>
    <row r="164" spans="1:11" s="124" customFormat="1">
      <c r="A164" s="127"/>
      <c r="F164" s="115"/>
      <c r="G164" s="115"/>
      <c r="H164" s="115"/>
      <c r="I164" s="115"/>
      <c r="J164" s="115"/>
      <c r="K164" s="115"/>
    </row>
    <row r="165" spans="1:11" s="124" customFormat="1">
      <c r="A165" s="127"/>
      <c r="F165" s="115"/>
      <c r="G165" s="115"/>
      <c r="H165" s="115"/>
      <c r="I165" s="115"/>
      <c r="J165" s="115"/>
      <c r="K165" s="115"/>
    </row>
    <row r="166" spans="1:11" s="124" customFormat="1">
      <c r="A166" s="127"/>
      <c r="F166" s="115"/>
      <c r="G166" s="115"/>
      <c r="H166" s="115"/>
      <c r="I166" s="115"/>
      <c r="J166" s="115"/>
      <c r="K166" s="115"/>
    </row>
    <row r="167" spans="1:11" s="124" customFormat="1">
      <c r="A167" s="127"/>
      <c r="F167" s="115"/>
      <c r="G167" s="115"/>
      <c r="H167" s="115"/>
      <c r="I167" s="115"/>
      <c r="J167" s="115"/>
      <c r="K167" s="115"/>
    </row>
    <row r="168" spans="1:11" s="124" customFormat="1">
      <c r="A168" s="127"/>
      <c r="F168" s="115"/>
      <c r="G168" s="115"/>
      <c r="H168" s="115"/>
      <c r="I168" s="115"/>
      <c r="J168" s="115"/>
      <c r="K168" s="115"/>
    </row>
    <row r="169" spans="1:11" s="124" customFormat="1">
      <c r="A169" s="127"/>
      <c r="F169" s="115"/>
      <c r="G169" s="115"/>
      <c r="H169" s="115"/>
      <c r="I169" s="115"/>
      <c r="J169" s="115"/>
      <c r="K169" s="115"/>
    </row>
    <row r="170" spans="1:11" s="124" customFormat="1">
      <c r="A170" s="127"/>
      <c r="F170" s="115"/>
      <c r="G170" s="115"/>
      <c r="H170" s="115"/>
      <c r="I170" s="115"/>
      <c r="J170" s="115"/>
      <c r="K170" s="115"/>
    </row>
    <row r="171" spans="1:11" s="124" customFormat="1">
      <c r="A171" s="127"/>
      <c r="F171" s="115"/>
      <c r="G171" s="115"/>
      <c r="H171" s="115"/>
      <c r="I171" s="115"/>
      <c r="J171" s="115"/>
      <c r="K171" s="115"/>
    </row>
    <row r="172" spans="1:11" s="124" customFormat="1">
      <c r="A172" s="127"/>
      <c r="F172" s="115"/>
      <c r="G172" s="115"/>
      <c r="H172" s="115"/>
      <c r="I172" s="115"/>
      <c r="J172" s="115"/>
      <c r="K172" s="115"/>
    </row>
    <row r="173" spans="1:11" s="124" customFormat="1">
      <c r="A173" s="127"/>
      <c r="F173" s="115"/>
      <c r="G173" s="115"/>
      <c r="H173" s="115"/>
      <c r="I173" s="115"/>
      <c r="J173" s="115"/>
      <c r="K173" s="115"/>
    </row>
    <row r="174" spans="1:11" s="124" customFormat="1">
      <c r="A174" s="127"/>
      <c r="F174" s="115"/>
      <c r="G174" s="115"/>
      <c r="H174" s="115"/>
      <c r="I174" s="115"/>
      <c r="J174" s="115"/>
      <c r="K174" s="115"/>
    </row>
    <row r="175" spans="1:11" s="124" customFormat="1">
      <c r="A175" s="127"/>
      <c r="F175" s="115"/>
      <c r="G175" s="115"/>
      <c r="H175" s="115"/>
      <c r="I175" s="115"/>
      <c r="J175" s="115"/>
      <c r="K175" s="115"/>
    </row>
    <row r="176" spans="1:11" s="124" customFormat="1">
      <c r="A176" s="127"/>
      <c r="F176" s="115"/>
      <c r="G176" s="115"/>
      <c r="H176" s="115"/>
      <c r="I176" s="115"/>
      <c r="J176" s="115"/>
      <c r="K176" s="115"/>
    </row>
    <row r="177" spans="1:11" s="124" customFormat="1">
      <c r="A177" s="127"/>
      <c r="F177" s="115"/>
      <c r="G177" s="115"/>
      <c r="H177" s="115"/>
      <c r="I177" s="115"/>
      <c r="J177" s="115"/>
      <c r="K177" s="115"/>
    </row>
    <row r="178" spans="1:11" s="124" customFormat="1">
      <c r="A178" s="127"/>
      <c r="F178" s="115"/>
      <c r="G178" s="115"/>
      <c r="H178" s="115"/>
      <c r="I178" s="115"/>
      <c r="J178" s="115"/>
      <c r="K178" s="115"/>
    </row>
    <row r="179" spans="1:11" s="124" customFormat="1">
      <c r="A179" s="127"/>
      <c r="F179" s="115"/>
      <c r="G179" s="115"/>
      <c r="H179" s="115"/>
      <c r="I179" s="115"/>
      <c r="J179" s="115"/>
      <c r="K179" s="115"/>
    </row>
    <row r="180" spans="1:11" s="124" customFormat="1">
      <c r="A180" s="127"/>
      <c r="F180" s="115"/>
      <c r="G180" s="115"/>
      <c r="H180" s="115"/>
      <c r="I180" s="115"/>
      <c r="J180" s="115"/>
      <c r="K180" s="115"/>
    </row>
    <row r="181" spans="1:11" s="124" customFormat="1">
      <c r="A181" s="127"/>
      <c r="F181" s="115"/>
      <c r="G181" s="115"/>
      <c r="H181" s="115"/>
      <c r="I181" s="115"/>
      <c r="J181" s="115"/>
      <c r="K181" s="115"/>
    </row>
    <row r="182" spans="1:11" s="124" customFormat="1">
      <c r="A182" s="127"/>
      <c r="F182" s="115"/>
      <c r="G182" s="115"/>
      <c r="H182" s="115"/>
      <c r="I182" s="115"/>
      <c r="J182" s="115"/>
      <c r="K182" s="115"/>
    </row>
    <row r="183" spans="1:11" s="124" customFormat="1">
      <c r="A183" s="127"/>
      <c r="F183" s="115"/>
      <c r="G183" s="115"/>
      <c r="H183" s="115"/>
      <c r="I183" s="115"/>
      <c r="J183" s="115"/>
      <c r="K183" s="115"/>
    </row>
    <row r="184" spans="1:11" s="124" customFormat="1">
      <c r="A184" s="127"/>
      <c r="F184" s="115"/>
      <c r="G184" s="115"/>
      <c r="H184" s="115"/>
      <c r="I184" s="115"/>
      <c r="J184" s="115"/>
      <c r="K184" s="115"/>
    </row>
    <row r="185" spans="1:11" s="124" customFormat="1">
      <c r="A185" s="127"/>
      <c r="F185" s="115"/>
      <c r="G185" s="115"/>
      <c r="H185" s="115"/>
      <c r="I185" s="115"/>
      <c r="J185" s="115"/>
      <c r="K185" s="115"/>
    </row>
    <row r="186" spans="1:11" s="124" customFormat="1">
      <c r="A186" s="127"/>
      <c r="F186" s="115"/>
      <c r="G186" s="115"/>
      <c r="H186" s="115"/>
      <c r="I186" s="115"/>
      <c r="J186" s="115"/>
      <c r="K186" s="115"/>
    </row>
    <row r="187" spans="1:11" s="124" customFormat="1">
      <c r="A187" s="127"/>
      <c r="F187" s="115"/>
      <c r="G187" s="115"/>
      <c r="H187" s="115"/>
      <c r="I187" s="115"/>
      <c r="J187" s="115"/>
      <c r="K187" s="115"/>
    </row>
    <row r="188" spans="1:11" s="124" customFormat="1">
      <c r="A188" s="127"/>
      <c r="F188" s="115"/>
      <c r="G188" s="115"/>
      <c r="H188" s="115"/>
      <c r="I188" s="115"/>
      <c r="J188" s="115"/>
      <c r="K188" s="115"/>
    </row>
    <row r="189" spans="1:11" s="124" customFormat="1">
      <c r="A189" s="127"/>
      <c r="F189" s="115"/>
      <c r="G189" s="115"/>
      <c r="H189" s="115"/>
      <c r="I189" s="115"/>
      <c r="J189" s="115"/>
      <c r="K189" s="115"/>
    </row>
    <row r="190" spans="1:11" s="124" customFormat="1">
      <c r="A190" s="127"/>
      <c r="F190" s="115"/>
      <c r="G190" s="115"/>
      <c r="H190" s="115"/>
      <c r="I190" s="115"/>
      <c r="J190" s="115"/>
      <c r="K190" s="115"/>
    </row>
    <row r="191" spans="1:11" s="124" customFormat="1">
      <c r="A191" s="127"/>
      <c r="F191" s="115"/>
      <c r="G191" s="115"/>
      <c r="H191" s="115"/>
      <c r="I191" s="115"/>
      <c r="J191" s="115"/>
      <c r="K191" s="115"/>
    </row>
    <row r="192" spans="1:11" s="124" customFormat="1">
      <c r="A192" s="127"/>
      <c r="F192" s="115"/>
      <c r="G192" s="115"/>
      <c r="H192" s="115"/>
      <c r="I192" s="115"/>
      <c r="J192" s="115"/>
      <c r="K192" s="115"/>
    </row>
    <row r="193" spans="1:11" s="124" customFormat="1">
      <c r="A193" s="127"/>
      <c r="F193" s="115"/>
      <c r="G193" s="115"/>
      <c r="H193" s="115"/>
      <c r="I193" s="115"/>
      <c r="J193" s="115"/>
      <c r="K193" s="115"/>
    </row>
  </sheetData>
  <mergeCells count="14">
    <mergeCell ref="A2:J2"/>
    <mergeCell ref="A4:A5"/>
    <mergeCell ref="B4:B5"/>
    <mergeCell ref="C4:C5"/>
    <mergeCell ref="F4:F5"/>
    <mergeCell ref="G4:J4"/>
    <mergeCell ref="E4:E5"/>
    <mergeCell ref="D4:D5"/>
    <mergeCell ref="C43:F43"/>
    <mergeCell ref="H43:J43"/>
    <mergeCell ref="A7:J7"/>
    <mergeCell ref="A17:J17"/>
    <mergeCell ref="C42:F42"/>
    <mergeCell ref="H42:J42"/>
  </mergeCells>
  <phoneticPr fontId="3" type="noConversion"/>
  <pageMargins left="0.51181102362204722" right="0.19685039370078741" top="0.59055118110236227" bottom="0.59055118110236227" header="0.19685039370078741" footer="0.11811023622047245"/>
  <pageSetup paperSize="9" scale="50" firstPageNumber="5" fitToHeight="2" orientation="portrait" useFirstPageNumber="1" r:id="rId1"/>
  <headerFooter alignWithMargins="0">
    <oddHeader>&amp;C&amp;"Times New Roman,обычный"&amp;14
&amp;R&amp;"Times New Roman,обычный"&amp;14Таблиця 2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J115"/>
  <sheetViews>
    <sheetView view="pageBreakPreview" zoomScale="70" zoomScaleNormal="75" zoomScaleSheetLayoutView="70" zoomScalePageLayoutView="70" workbookViewId="0">
      <pane ySplit="6" topLeftCell="A34" activePane="bottomLeft" state="frozen"/>
      <selection pane="bottomLeft" activeCell="D70" sqref="D70"/>
    </sheetView>
  </sheetViews>
  <sheetFormatPr defaultRowHeight="18.75" outlineLevelRow="1"/>
  <cols>
    <col min="1" max="1" width="65.7109375" style="2" customWidth="1"/>
    <col min="2" max="2" width="11.5703125" style="2" customWidth="1"/>
    <col min="3" max="3" width="15.28515625" style="2" customWidth="1"/>
    <col min="4" max="5" width="16.28515625" style="2" customWidth="1"/>
    <col min="6" max="6" width="16" style="2" customWidth="1"/>
    <col min="7" max="8" width="12.5703125" style="2" customWidth="1"/>
    <col min="9" max="10" width="12.42578125" style="2" customWidth="1"/>
    <col min="11" max="16384" width="9.140625" style="2"/>
  </cols>
  <sheetData>
    <row r="2" spans="1:10">
      <c r="A2" s="292" t="s">
        <v>111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outlineLevel="1">
      <c r="A3" s="193"/>
      <c r="B3" s="193"/>
      <c r="C3" s="193"/>
      <c r="D3" s="193"/>
      <c r="E3" s="193"/>
      <c r="F3" s="193"/>
      <c r="G3" s="193"/>
      <c r="H3" s="193"/>
      <c r="I3" s="193"/>
      <c r="J3" s="194" t="s">
        <v>501</v>
      </c>
    </row>
    <row r="4" spans="1:10" ht="18.75" customHeight="1">
      <c r="A4" s="306" t="s">
        <v>181</v>
      </c>
      <c r="B4" s="305" t="s">
        <v>5</v>
      </c>
      <c r="C4" s="318" t="s">
        <v>627</v>
      </c>
      <c r="D4" s="318" t="s">
        <v>628</v>
      </c>
      <c r="E4" s="318" t="s">
        <v>629</v>
      </c>
      <c r="F4" s="318" t="s">
        <v>630</v>
      </c>
      <c r="G4" s="305" t="s">
        <v>255</v>
      </c>
      <c r="H4" s="305"/>
      <c r="I4" s="305"/>
      <c r="J4" s="305"/>
    </row>
    <row r="5" spans="1:10" ht="45.75" customHeight="1">
      <c r="A5" s="306"/>
      <c r="B5" s="305"/>
      <c r="C5" s="319" t="s">
        <v>395</v>
      </c>
      <c r="D5" s="319"/>
      <c r="E5" s="319" t="s">
        <v>394</v>
      </c>
      <c r="F5" s="319" t="s">
        <v>393</v>
      </c>
      <c r="G5" s="267" t="s">
        <v>139</v>
      </c>
      <c r="H5" s="267" t="s">
        <v>140</v>
      </c>
      <c r="I5" s="267" t="s">
        <v>141</v>
      </c>
      <c r="J5" s="267" t="s">
        <v>54</v>
      </c>
    </row>
    <row r="6" spans="1:10" ht="18" customHeight="1">
      <c r="A6" s="246">
        <v>1</v>
      </c>
      <c r="B6" s="267">
        <v>2</v>
      </c>
      <c r="C6" s="267">
        <v>3</v>
      </c>
      <c r="D6" s="267">
        <v>4</v>
      </c>
      <c r="E6" s="267">
        <v>5</v>
      </c>
      <c r="F6" s="267">
        <v>6</v>
      </c>
      <c r="G6" s="267">
        <v>7</v>
      </c>
      <c r="H6" s="267">
        <v>8</v>
      </c>
      <c r="I6" s="267">
        <v>9</v>
      </c>
      <c r="J6" s="267">
        <v>10</v>
      </c>
    </row>
    <row r="7" spans="1:10" s="195" customFormat="1">
      <c r="A7" s="316" t="s">
        <v>115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0" ht="37.5">
      <c r="A8" s="252" t="s">
        <v>128</v>
      </c>
      <c r="B8" s="196">
        <v>1200</v>
      </c>
      <c r="C8" s="197">
        <v>2030</v>
      </c>
      <c r="D8" s="197">
        <v>2344.3999999999946</v>
      </c>
      <c r="E8" s="197">
        <v>2344.3999999999946</v>
      </c>
      <c r="F8" s="197">
        <f>'1.Фінансовий результат'!F132</f>
        <v>1850.4</v>
      </c>
      <c r="G8" s="197">
        <f>'1.Фінансовий результат'!G132</f>
        <v>396.1</v>
      </c>
      <c r="H8" s="197">
        <f>'1.Фінансовий результат'!H132</f>
        <v>486.1</v>
      </c>
      <c r="I8" s="197">
        <f>'1.Фінансовий результат'!I132</f>
        <v>484.1</v>
      </c>
      <c r="J8" s="197">
        <f>'1.Фінансовий результат'!J132</f>
        <v>484.1</v>
      </c>
    </row>
    <row r="9" spans="1:10" ht="20.100000000000001" customHeight="1">
      <c r="A9" s="12" t="s">
        <v>129</v>
      </c>
      <c r="B9" s="198"/>
      <c r="C9" s="199"/>
      <c r="D9" s="199"/>
      <c r="E9" s="199"/>
      <c r="F9" s="199"/>
      <c r="G9" s="199"/>
      <c r="H9" s="199"/>
      <c r="I9" s="199"/>
      <c r="J9" s="199"/>
    </row>
    <row r="10" spans="1:10" ht="20.100000000000001" customHeight="1">
      <c r="A10" s="12" t="s">
        <v>131</v>
      </c>
      <c r="B10" s="243">
        <v>3000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</row>
    <row r="11" spans="1:10" ht="20.100000000000001" customHeight="1">
      <c r="A11" s="12" t="s">
        <v>132</v>
      </c>
      <c r="B11" s="243">
        <v>3010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</row>
    <row r="12" spans="1:10" ht="20.100000000000001" customHeight="1">
      <c r="A12" s="12" t="s">
        <v>133</v>
      </c>
      <c r="B12" s="243">
        <v>3020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</row>
    <row r="13" spans="1:10" ht="37.5">
      <c r="A13" s="12" t="s">
        <v>134</v>
      </c>
      <c r="B13" s="243">
        <v>3030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</row>
    <row r="14" spans="1:10" ht="37.5">
      <c r="A14" s="252" t="s">
        <v>173</v>
      </c>
      <c r="B14" s="247">
        <v>3040</v>
      </c>
      <c r="C14" s="197">
        <v>2030</v>
      </c>
      <c r="D14" s="197">
        <v>2344.3999999999946</v>
      </c>
      <c r="E14" s="197">
        <v>2344.3999999999946</v>
      </c>
      <c r="F14" s="197">
        <f t="shared" ref="F14:J14" si="0">F8</f>
        <v>1850.4</v>
      </c>
      <c r="G14" s="197">
        <f t="shared" si="0"/>
        <v>396.1</v>
      </c>
      <c r="H14" s="197">
        <f t="shared" si="0"/>
        <v>486.1</v>
      </c>
      <c r="I14" s="197">
        <f t="shared" si="0"/>
        <v>484.1</v>
      </c>
      <c r="J14" s="197">
        <f t="shared" si="0"/>
        <v>484.1</v>
      </c>
    </row>
    <row r="15" spans="1:10" ht="37.5">
      <c r="A15" s="12" t="s">
        <v>135</v>
      </c>
      <c r="B15" s="243">
        <v>3050</v>
      </c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</row>
    <row r="16" spans="1:10" ht="37.5">
      <c r="A16" s="12" t="s">
        <v>136</v>
      </c>
      <c r="B16" s="243">
        <v>3060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</row>
    <row r="17" spans="1:10" s="7" customFormat="1" ht="20.100000000000001" customHeight="1">
      <c r="A17" s="252" t="s">
        <v>491</v>
      </c>
      <c r="B17" s="247">
        <v>3070</v>
      </c>
      <c r="C17" s="197">
        <v>43715</v>
      </c>
      <c r="D17" s="197">
        <v>79906.2</v>
      </c>
      <c r="E17" s="197">
        <v>79906.2</v>
      </c>
      <c r="F17" s="197">
        <f>F18</f>
        <v>90200</v>
      </c>
      <c r="G17" s="197">
        <f>SUM(G18)</f>
        <v>22550</v>
      </c>
      <c r="H17" s="197">
        <f>SUM(H18)</f>
        <v>22550</v>
      </c>
      <c r="I17" s="197">
        <f>SUM(I18)</f>
        <v>22550</v>
      </c>
      <c r="J17" s="197">
        <f>SUM(J18)</f>
        <v>22550</v>
      </c>
    </row>
    <row r="18" spans="1:10" s="7" customFormat="1">
      <c r="A18" s="252" t="s">
        <v>467</v>
      </c>
      <c r="B18" s="247" t="s">
        <v>474</v>
      </c>
      <c r="C18" s="197">
        <v>43715</v>
      </c>
      <c r="D18" s="197">
        <v>79906.2</v>
      </c>
      <c r="E18" s="197">
        <v>79906.2</v>
      </c>
      <c r="F18" s="197">
        <f t="shared" ref="F18:J18" si="1">SUM(F19:F22)</f>
        <v>90200</v>
      </c>
      <c r="G18" s="197">
        <f t="shared" si="1"/>
        <v>22550</v>
      </c>
      <c r="H18" s="197">
        <f t="shared" si="1"/>
        <v>22550</v>
      </c>
      <c r="I18" s="197">
        <f t="shared" si="1"/>
        <v>22550</v>
      </c>
      <c r="J18" s="197">
        <f t="shared" si="1"/>
        <v>22550</v>
      </c>
    </row>
    <row r="19" spans="1:10" ht="20.100000000000001" customHeight="1">
      <c r="A19" s="122" t="s">
        <v>466</v>
      </c>
      <c r="B19" s="243" t="s">
        <v>476</v>
      </c>
      <c r="C19" s="200">
        <v>43410</v>
      </c>
      <c r="D19" s="200">
        <v>79846</v>
      </c>
      <c r="E19" s="200">
        <v>79846</v>
      </c>
      <c r="F19" s="200">
        <v>90050</v>
      </c>
      <c r="G19" s="200">
        <f>F19/4</f>
        <v>22512.5</v>
      </c>
      <c r="H19" s="200">
        <f>G19</f>
        <v>22512.5</v>
      </c>
      <c r="I19" s="200">
        <f>H19</f>
        <v>22512.5</v>
      </c>
      <c r="J19" s="200">
        <f>I19</f>
        <v>22512.5</v>
      </c>
    </row>
    <row r="20" spans="1:10" ht="20.100000000000001" customHeight="1">
      <c r="A20" s="122" t="s">
        <v>487</v>
      </c>
      <c r="B20" s="243" t="s">
        <v>477</v>
      </c>
      <c r="C20" s="200">
        <v>15</v>
      </c>
      <c r="D20" s="200">
        <v>29.2</v>
      </c>
      <c r="E20" s="200">
        <v>29.2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</row>
    <row r="21" spans="1:10" ht="20.100000000000001" customHeight="1">
      <c r="A21" s="122" t="s">
        <v>488</v>
      </c>
      <c r="B21" s="243" t="s">
        <v>485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</row>
    <row r="22" spans="1:10" ht="20.100000000000001" customHeight="1">
      <c r="A22" s="122" t="s">
        <v>489</v>
      </c>
      <c r="B22" s="243" t="s">
        <v>486</v>
      </c>
      <c r="C22" s="200">
        <v>290</v>
      </c>
      <c r="D22" s="200">
        <v>31</v>
      </c>
      <c r="E22" s="200">
        <v>31</v>
      </c>
      <c r="F22" s="200">
        <v>150</v>
      </c>
      <c r="G22" s="200">
        <f>F22/4</f>
        <v>37.5</v>
      </c>
      <c r="H22" s="200">
        <f>G22</f>
        <v>37.5</v>
      </c>
      <c r="I22" s="200">
        <f>H22</f>
        <v>37.5</v>
      </c>
      <c r="J22" s="200">
        <f>I22</f>
        <v>37.5</v>
      </c>
    </row>
    <row r="23" spans="1:10" s="7" customFormat="1" ht="20.100000000000001" customHeight="1">
      <c r="A23" s="252" t="s">
        <v>468</v>
      </c>
      <c r="B23" s="247" t="s">
        <v>475</v>
      </c>
      <c r="C23" s="197">
        <v>53946</v>
      </c>
      <c r="D23" s="197">
        <v>81017.299999999988</v>
      </c>
      <c r="E23" s="197">
        <v>81017.299999999988</v>
      </c>
      <c r="F23" s="197">
        <f>SUM(F24:F28,F30)</f>
        <v>85964.846600000004</v>
      </c>
      <c r="G23" s="197">
        <f t="shared" ref="G23:J23" si="2">SUM(G24:G28,G30)</f>
        <v>21471.078300000001</v>
      </c>
      <c r="H23" s="197">
        <f t="shared" si="2"/>
        <v>21498.348299999998</v>
      </c>
      <c r="I23" s="197">
        <f t="shared" si="2"/>
        <v>21497.71</v>
      </c>
      <c r="J23" s="197">
        <f t="shared" si="2"/>
        <v>21497.71</v>
      </c>
    </row>
    <row r="24" spans="1:10" ht="20.100000000000001" customHeight="1">
      <c r="A24" s="122" t="s">
        <v>469</v>
      </c>
      <c r="B24" s="201" t="s">
        <v>478</v>
      </c>
      <c r="C24" s="200">
        <v>35783</v>
      </c>
      <c r="D24" s="200">
        <v>51191.199999999997</v>
      </c>
      <c r="E24" s="200">
        <v>51191.199999999997</v>
      </c>
      <c r="F24" s="200">
        <v>53500</v>
      </c>
      <c r="G24" s="200">
        <f>F24/4</f>
        <v>13375</v>
      </c>
      <c r="H24" s="200">
        <f t="shared" ref="H24:J25" si="3">G24</f>
        <v>13375</v>
      </c>
      <c r="I24" s="200">
        <f t="shared" si="3"/>
        <v>13375</v>
      </c>
      <c r="J24" s="200">
        <f t="shared" si="3"/>
        <v>13375</v>
      </c>
    </row>
    <row r="25" spans="1:10" ht="20.100000000000001" customHeight="1">
      <c r="A25" s="122" t="s">
        <v>490</v>
      </c>
      <c r="B25" s="201" t="s">
        <v>479</v>
      </c>
      <c r="C25" s="200">
        <v>132</v>
      </c>
      <c r="D25" s="200">
        <v>151</v>
      </c>
      <c r="E25" s="200">
        <v>151</v>
      </c>
      <c r="F25" s="200">
        <v>250</v>
      </c>
      <c r="G25" s="200">
        <f>F25/4</f>
        <v>62.5</v>
      </c>
      <c r="H25" s="200">
        <f t="shared" si="3"/>
        <v>62.5</v>
      </c>
      <c r="I25" s="200">
        <f t="shared" si="3"/>
        <v>62.5</v>
      </c>
      <c r="J25" s="200">
        <f t="shared" si="3"/>
        <v>62.5</v>
      </c>
    </row>
    <row r="26" spans="1:10" ht="20.100000000000001" customHeight="1">
      <c r="A26" s="122" t="s">
        <v>470</v>
      </c>
      <c r="B26" s="201" t="s">
        <v>480</v>
      </c>
      <c r="C26" s="200">
        <v>7545</v>
      </c>
      <c r="D26" s="200">
        <v>13255.4</v>
      </c>
      <c r="E26" s="200">
        <v>13255.4</v>
      </c>
      <c r="F26" s="200">
        <f>'1.Фінансовий результат'!F143</f>
        <v>14821.6</v>
      </c>
      <c r="G26" s="200">
        <f>'1.Фінансовий результат'!G143</f>
        <v>3705.4</v>
      </c>
      <c r="H26" s="200">
        <f>'1.Фінансовий результат'!H143</f>
        <v>3705.4</v>
      </c>
      <c r="I26" s="200">
        <f>'1.Фінансовий результат'!I143</f>
        <v>3705.4</v>
      </c>
      <c r="J26" s="200">
        <f>'1.Фінансовий результат'!J143</f>
        <v>3705.4</v>
      </c>
    </row>
    <row r="27" spans="1:10" ht="20.100000000000001" customHeight="1">
      <c r="A27" s="122" t="s">
        <v>471</v>
      </c>
      <c r="B27" s="201" t="s">
        <v>481</v>
      </c>
      <c r="C27" s="200">
        <v>2051</v>
      </c>
      <c r="D27" s="200">
        <v>3188.4</v>
      </c>
      <c r="E27" s="200">
        <v>3188.4</v>
      </c>
      <c r="F27" s="200">
        <f>F26*22%</f>
        <v>3260.752</v>
      </c>
      <c r="G27" s="200">
        <f>$F$27/4</f>
        <v>815.18799999999999</v>
      </c>
      <c r="H27" s="200">
        <f t="shared" ref="H27:J27" si="4">$F$27/4</f>
        <v>815.18799999999999</v>
      </c>
      <c r="I27" s="200">
        <f t="shared" si="4"/>
        <v>815.18799999999999</v>
      </c>
      <c r="J27" s="200">
        <f t="shared" si="4"/>
        <v>815.18799999999999</v>
      </c>
    </row>
    <row r="28" spans="1:10" ht="20.100000000000001" customHeight="1">
      <c r="A28" s="122" t="s">
        <v>660</v>
      </c>
      <c r="B28" s="201" t="s">
        <v>482</v>
      </c>
      <c r="C28" s="200">
        <v>6189</v>
      </c>
      <c r="D28" s="200">
        <v>8204.2000000000007</v>
      </c>
      <c r="E28" s="200">
        <v>8204.2000000000007</v>
      </c>
      <c r="F28" s="200">
        <f>'2. Розрахунки з бюджетом'!F39</f>
        <v>13852.4946</v>
      </c>
      <c r="G28" s="200">
        <f>'2. Розрахунки з бюджетом'!G39</f>
        <v>3442.9902999999999</v>
      </c>
      <c r="H28" s="200">
        <f>'2. Розрахунки з бюджетом'!H39</f>
        <v>3470.2602999999999</v>
      </c>
      <c r="I28" s="200">
        <f>'2. Розрахунки з бюджетом'!I39</f>
        <v>3469.6220000000003</v>
      </c>
      <c r="J28" s="200">
        <f>'2. Розрахунки з бюджетом'!J39</f>
        <v>3469.6220000000003</v>
      </c>
    </row>
    <row r="29" spans="1:10">
      <c r="A29" s="122" t="s">
        <v>472</v>
      </c>
      <c r="B29" s="201" t="s">
        <v>483</v>
      </c>
      <c r="C29" s="200">
        <v>1900</v>
      </c>
      <c r="D29" s="200">
        <v>4599.2</v>
      </c>
      <c r="E29" s="200">
        <v>4599.2</v>
      </c>
      <c r="F29" s="200">
        <f>'2. Розрахунки з бюджетом'!F20</f>
        <v>5500</v>
      </c>
      <c r="G29" s="200">
        <f>F29/4</f>
        <v>1375</v>
      </c>
      <c r="H29" s="200">
        <f>'2. Розрахунки з бюджетом'!H20</f>
        <v>1375</v>
      </c>
      <c r="I29" s="200">
        <f>'2. Розрахунки з бюджетом'!I20</f>
        <v>1375</v>
      </c>
      <c r="J29" s="200">
        <f>'2. Розрахунки з бюджетом'!J20</f>
        <v>1375</v>
      </c>
    </row>
    <row r="30" spans="1:10" ht="20.100000000000001" customHeight="1">
      <c r="A30" s="122" t="s">
        <v>473</v>
      </c>
      <c r="B30" s="201" t="s">
        <v>484</v>
      </c>
      <c r="C30" s="200">
        <v>346</v>
      </c>
      <c r="D30" s="200">
        <v>427.9</v>
      </c>
      <c r="E30" s="200">
        <v>427.9</v>
      </c>
      <c r="F30" s="200">
        <v>280</v>
      </c>
      <c r="G30" s="200">
        <f>F30/4</f>
        <v>70</v>
      </c>
      <c r="H30" s="200">
        <f>G30</f>
        <v>70</v>
      </c>
      <c r="I30" s="200">
        <f>H30</f>
        <v>70</v>
      </c>
      <c r="J30" s="200">
        <f>I30</f>
        <v>70</v>
      </c>
    </row>
    <row r="31" spans="1:10" ht="20.100000000000001" customHeight="1">
      <c r="A31" s="12" t="s">
        <v>130</v>
      </c>
      <c r="B31" s="243">
        <v>3080</v>
      </c>
      <c r="C31" s="200">
        <v>365</v>
      </c>
      <c r="D31" s="200">
        <v>480.69199999999898</v>
      </c>
      <c r="E31" s="200">
        <v>480.69199999999898</v>
      </c>
      <c r="F31" s="200">
        <f>'2. Розрахунки з бюджетом'!F19</f>
        <v>332.99599999999998</v>
      </c>
      <c r="G31" s="200">
        <f>'2. Розрахунки з бюджетом'!G19</f>
        <v>71.298000000000002</v>
      </c>
      <c r="H31" s="200">
        <f>'2. Розрахунки з бюджетом'!H19</f>
        <v>87.498000000000005</v>
      </c>
      <c r="I31" s="200">
        <f>'2. Розрахунки з бюджетом'!I19</f>
        <v>87.1</v>
      </c>
      <c r="J31" s="200">
        <f>'2. Розрахунки з бюджетом'!J19</f>
        <v>87.1</v>
      </c>
    </row>
    <row r="32" spans="1:10" ht="20.100000000000001" customHeight="1">
      <c r="A32" s="202" t="s">
        <v>114</v>
      </c>
      <c r="B32" s="243">
        <v>3090</v>
      </c>
      <c r="C32" s="200">
        <v>-8331</v>
      </c>
      <c r="D32" s="200">
        <v>-1111.0999999999913</v>
      </c>
      <c r="E32" s="200">
        <v>-1111.0999999999913</v>
      </c>
      <c r="F32" s="200">
        <f t="shared" ref="F32:J32" si="5">F17-F23</f>
        <v>4235.1533999999956</v>
      </c>
      <c r="G32" s="200">
        <f t="shared" si="5"/>
        <v>1078.921699999999</v>
      </c>
      <c r="H32" s="200">
        <f t="shared" si="5"/>
        <v>1051.6517000000022</v>
      </c>
      <c r="I32" s="200">
        <f t="shared" si="5"/>
        <v>1052.2900000000009</v>
      </c>
      <c r="J32" s="200">
        <f t="shared" si="5"/>
        <v>1052.2900000000009</v>
      </c>
    </row>
    <row r="33" spans="1:10">
      <c r="A33" s="316" t="s">
        <v>116</v>
      </c>
      <c r="B33" s="316"/>
      <c r="C33" s="316"/>
      <c r="D33" s="316"/>
      <c r="E33" s="316"/>
      <c r="F33" s="316"/>
      <c r="G33" s="316"/>
      <c r="H33" s="316"/>
      <c r="I33" s="316"/>
      <c r="J33" s="316"/>
    </row>
    <row r="34" spans="1:10" ht="20.100000000000001" customHeight="1">
      <c r="A34" s="252" t="s">
        <v>185</v>
      </c>
      <c r="B34" s="203"/>
      <c r="C34" s="200">
        <v>3</v>
      </c>
      <c r="D34" s="200"/>
      <c r="E34" s="200"/>
      <c r="F34" s="200"/>
      <c r="G34" s="200"/>
      <c r="H34" s="200"/>
      <c r="I34" s="200"/>
      <c r="J34" s="200"/>
    </row>
    <row r="35" spans="1:10" ht="20.100000000000001" customHeight="1">
      <c r="A35" s="4" t="s">
        <v>13</v>
      </c>
      <c r="B35" s="203">
        <v>3200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</row>
    <row r="36" spans="1:10" ht="20.100000000000001" customHeight="1">
      <c r="A36" s="4" t="s">
        <v>14</v>
      </c>
      <c r="B36" s="203">
        <v>3210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</row>
    <row r="37" spans="1:10" ht="20.100000000000001" customHeight="1">
      <c r="A37" s="4" t="s">
        <v>35</v>
      </c>
      <c r="B37" s="203">
        <v>3220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</row>
    <row r="38" spans="1:10" ht="20.100000000000001" customHeight="1">
      <c r="A38" s="12" t="s">
        <v>120</v>
      </c>
      <c r="B38" s="203"/>
      <c r="C38" s="200">
        <v>3</v>
      </c>
      <c r="D38" s="200"/>
      <c r="E38" s="200"/>
      <c r="F38" s="200"/>
      <c r="G38" s="200"/>
      <c r="H38" s="200"/>
      <c r="I38" s="200"/>
      <c r="J38" s="200"/>
    </row>
    <row r="39" spans="1:10" ht="20.100000000000001" customHeight="1">
      <c r="A39" s="4" t="s">
        <v>121</v>
      </c>
      <c r="B39" s="203">
        <v>3230</v>
      </c>
      <c r="C39" s="200">
        <v>3</v>
      </c>
      <c r="D39" s="200">
        <v>0</v>
      </c>
      <c r="E39" s="200">
        <v>0</v>
      </c>
      <c r="F39" s="200">
        <f>'1.Фінансовий результат'!F127</f>
        <v>10</v>
      </c>
      <c r="G39" s="200">
        <f>F39/4</f>
        <v>2.5</v>
      </c>
      <c r="H39" s="200">
        <f>G39</f>
        <v>2.5</v>
      </c>
      <c r="I39" s="200">
        <f>H39</f>
        <v>2.5</v>
      </c>
      <c r="J39" s="200">
        <f>I39</f>
        <v>2.5</v>
      </c>
    </row>
    <row r="40" spans="1:10" ht="20.100000000000001" customHeight="1">
      <c r="A40" s="4" t="s">
        <v>122</v>
      </c>
      <c r="B40" s="203">
        <v>3240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</row>
    <row r="41" spans="1:10" ht="20.100000000000001" customHeight="1">
      <c r="A41" s="12" t="s">
        <v>123</v>
      </c>
      <c r="B41" s="203">
        <v>3250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</row>
    <row r="42" spans="1:10" ht="20.100000000000001" customHeight="1">
      <c r="A42" s="4" t="s">
        <v>89</v>
      </c>
      <c r="B42" s="203">
        <v>3260</v>
      </c>
      <c r="C42" s="200">
        <v>0</v>
      </c>
      <c r="D42" s="200">
        <v>1205</v>
      </c>
      <c r="E42" s="200">
        <v>1205</v>
      </c>
      <c r="F42" s="200">
        <f>'4. Кап. інвестиції'!F14+'4. Кап. інвестиції'!F11</f>
        <v>1323</v>
      </c>
      <c r="G42" s="200">
        <f>'4. Кап. інвестиції'!G14+'4. Кап. інвестиції'!G11</f>
        <v>0</v>
      </c>
      <c r="H42" s="200">
        <f>'4. Кап. інвестиції'!H14+'4. Кап. інвестиції'!H11</f>
        <v>0</v>
      </c>
      <c r="I42" s="200">
        <f>'4. Кап. інвестиції'!I14+'4. Кап. інвестиції'!I11</f>
        <v>1323</v>
      </c>
      <c r="J42" s="200">
        <f>'4. Кап. інвестиції'!J14+'4. Кап. інвестиції'!J11</f>
        <v>0</v>
      </c>
    </row>
    <row r="43" spans="1:10" ht="20.100000000000001" customHeight="1">
      <c r="A43" s="252" t="s">
        <v>187</v>
      </c>
      <c r="B43" s="203"/>
      <c r="C43" s="200">
        <v>5103</v>
      </c>
      <c r="D43" s="200">
        <v>2039.8</v>
      </c>
      <c r="E43" s="200">
        <v>2039.8</v>
      </c>
      <c r="F43" s="200"/>
      <c r="G43" s="200"/>
      <c r="H43" s="200"/>
      <c r="I43" s="200"/>
      <c r="J43" s="200"/>
    </row>
    <row r="44" spans="1:10" ht="37.5">
      <c r="A44" s="4" t="s">
        <v>90</v>
      </c>
      <c r="B44" s="203">
        <v>3270</v>
      </c>
      <c r="C44" s="260">
        <v>5103</v>
      </c>
      <c r="D44" s="200">
        <v>1000</v>
      </c>
      <c r="E44" s="200">
        <v>1000</v>
      </c>
      <c r="F44" s="200">
        <f>'4. Кап. інвестиції'!F10+'4. Кап. інвестиції'!F16</f>
        <v>7423</v>
      </c>
      <c r="G44" s="200">
        <f>'4. Кап. інвестиції'!G10+'4. Кап. інвестиції'!G16</f>
        <v>137.5</v>
      </c>
      <c r="H44" s="200">
        <f>'4. Кап. інвестиції'!H10+'4. Кап. інвестиції'!H16</f>
        <v>137.5</v>
      </c>
      <c r="I44" s="200">
        <f>'4. Кап. інвестиції'!I10+'4. Кап. інвестиції'!I16</f>
        <v>1460.5</v>
      </c>
      <c r="J44" s="200">
        <f>'4. Кап. інвестиції'!J10+'4. Кап. інвестиції'!J16</f>
        <v>5687.5</v>
      </c>
    </row>
    <row r="45" spans="1:10" ht="20.100000000000001" customHeight="1">
      <c r="A45" s="4" t="s">
        <v>91</v>
      </c>
      <c r="B45" s="203">
        <v>3280</v>
      </c>
      <c r="C45" s="200">
        <v>0</v>
      </c>
      <c r="D45" s="200">
        <v>205</v>
      </c>
      <c r="E45" s="200">
        <v>205</v>
      </c>
      <c r="F45" s="200">
        <v>0</v>
      </c>
      <c r="G45" s="200">
        <f>G42</f>
        <v>0</v>
      </c>
      <c r="H45" s="200">
        <f>H42</f>
        <v>0</v>
      </c>
      <c r="I45" s="200">
        <v>0</v>
      </c>
      <c r="J45" s="200">
        <f>J42</f>
        <v>0</v>
      </c>
    </row>
    <row r="46" spans="1:10" ht="37.5">
      <c r="A46" s="4" t="s">
        <v>92</v>
      </c>
      <c r="B46" s="203">
        <v>3290</v>
      </c>
      <c r="C46" s="200">
        <v>0</v>
      </c>
      <c r="D46" s="200">
        <v>0</v>
      </c>
      <c r="E46" s="200">
        <v>0</v>
      </c>
      <c r="F46" s="200">
        <v>0</v>
      </c>
      <c r="G46" s="200">
        <v>0</v>
      </c>
      <c r="H46" s="200">
        <v>0</v>
      </c>
      <c r="I46" s="200">
        <v>0</v>
      </c>
      <c r="J46" s="200">
        <v>0</v>
      </c>
    </row>
    <row r="47" spans="1:10" ht="20.100000000000001" customHeight="1">
      <c r="A47" s="4" t="s">
        <v>36</v>
      </c>
      <c r="B47" s="203">
        <v>3300</v>
      </c>
      <c r="C47" s="200">
        <v>0</v>
      </c>
      <c r="D47" s="200">
        <v>0</v>
      </c>
      <c r="E47" s="200">
        <v>0</v>
      </c>
      <c r="F47" s="200">
        <v>0</v>
      </c>
      <c r="G47" s="200">
        <v>0</v>
      </c>
      <c r="H47" s="200">
        <v>0</v>
      </c>
      <c r="I47" s="200">
        <v>0</v>
      </c>
      <c r="J47" s="200">
        <v>0</v>
      </c>
    </row>
    <row r="48" spans="1:10" ht="20.100000000000001" customHeight="1">
      <c r="A48" s="4" t="s">
        <v>84</v>
      </c>
      <c r="B48" s="203">
        <v>3310</v>
      </c>
      <c r="C48" s="200">
        <v>0</v>
      </c>
      <c r="D48" s="200">
        <v>834.8</v>
      </c>
      <c r="E48" s="200">
        <v>834.8</v>
      </c>
      <c r="F48" s="200">
        <f>'1.Фінансовий результат'!F128</f>
        <v>10</v>
      </c>
      <c r="G48" s="200">
        <f>'1.Фінансовий результат'!G128</f>
        <v>2.5</v>
      </c>
      <c r="H48" s="200">
        <f>'1.Фінансовий результат'!H128</f>
        <v>2.5</v>
      </c>
      <c r="I48" s="200">
        <f>'1.Фінансовий результат'!I128</f>
        <v>2.5</v>
      </c>
      <c r="J48" s="200">
        <f>'1.Фінансовий результат'!J128</f>
        <v>2.5</v>
      </c>
    </row>
    <row r="49" spans="1:10" ht="20.100000000000001" customHeight="1">
      <c r="A49" s="252" t="s">
        <v>117</v>
      </c>
      <c r="B49" s="196">
        <v>3320</v>
      </c>
      <c r="C49" s="197">
        <v>-5100</v>
      </c>
      <c r="D49" s="197">
        <v>-834.8</v>
      </c>
      <c r="E49" s="197">
        <v>-834.8</v>
      </c>
      <c r="F49" s="197">
        <f t="shared" ref="F49" si="6">F35+F36+F37+F39+F40+F41+F42-F44-F45-F46-F47-F48</f>
        <v>-6100</v>
      </c>
      <c r="G49" s="197">
        <f t="shared" ref="G49" si="7">G35+G36+G37+G39+G40+G41+G42-G44-G45-G46-G47-G48</f>
        <v>-137.5</v>
      </c>
      <c r="H49" s="197">
        <f t="shared" ref="H49" si="8">H35+H36+H37+H39+H40+H41+H42-H44-H45-H46-H47-H48</f>
        <v>-137.5</v>
      </c>
      <c r="I49" s="197">
        <f t="shared" ref="I49" si="9">I35+I36+I37+I39+I40+I41+I42-I44-I45-I46-I47-I48</f>
        <v>-137.5</v>
      </c>
      <c r="J49" s="197">
        <f t="shared" ref="J49" si="10">J35+J36+J37+J39+J40+J41+J42-J44-J45-J46-J47-J48</f>
        <v>-5687.5</v>
      </c>
    </row>
    <row r="50" spans="1:10">
      <c r="A50" s="316" t="s">
        <v>118</v>
      </c>
      <c r="B50" s="316"/>
      <c r="C50" s="316"/>
      <c r="D50" s="316"/>
      <c r="E50" s="316"/>
      <c r="F50" s="316"/>
      <c r="G50" s="316"/>
      <c r="H50" s="316"/>
      <c r="I50" s="316"/>
      <c r="J50" s="316"/>
    </row>
    <row r="51" spans="1:10" ht="20.100000000000001" customHeight="1">
      <c r="A51" s="252" t="s">
        <v>186</v>
      </c>
      <c r="B51" s="203"/>
      <c r="C51" s="197"/>
      <c r="D51" s="197"/>
      <c r="E51" s="197"/>
      <c r="F51" s="197"/>
      <c r="G51" s="197"/>
      <c r="H51" s="197"/>
      <c r="I51" s="197"/>
      <c r="J51" s="197"/>
    </row>
    <row r="52" spans="1:10">
      <c r="A52" s="12" t="s">
        <v>124</v>
      </c>
      <c r="B52" s="203">
        <v>3400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</row>
    <row r="53" spans="1:10" ht="37.5">
      <c r="A53" s="4" t="s">
        <v>70</v>
      </c>
      <c r="B53" s="3"/>
      <c r="C53" s="200"/>
      <c r="D53" s="200"/>
      <c r="E53" s="200"/>
      <c r="F53" s="200"/>
      <c r="G53" s="200"/>
      <c r="H53" s="200"/>
      <c r="I53" s="200"/>
      <c r="J53" s="200"/>
    </row>
    <row r="54" spans="1:10" ht="20.100000000000001" customHeight="1">
      <c r="A54" s="4" t="s">
        <v>69</v>
      </c>
      <c r="B54" s="203">
        <v>3410</v>
      </c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</row>
    <row r="55" spans="1:10" ht="20.100000000000001" customHeight="1">
      <c r="A55" s="4" t="s">
        <v>74</v>
      </c>
      <c r="B55" s="243">
        <v>3420</v>
      </c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200">
        <v>0</v>
      </c>
    </row>
    <row r="56" spans="1:10" ht="20.100000000000001" customHeight="1">
      <c r="A56" s="4" t="s">
        <v>93</v>
      </c>
      <c r="B56" s="203">
        <v>3430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</row>
    <row r="57" spans="1:10" ht="37.5">
      <c r="A57" s="4" t="s">
        <v>72</v>
      </c>
      <c r="B57" s="203"/>
      <c r="C57" s="200">
        <v>9317</v>
      </c>
      <c r="D57" s="200"/>
      <c r="E57" s="200"/>
      <c r="F57" s="200"/>
      <c r="G57" s="200"/>
      <c r="H57" s="200"/>
      <c r="I57" s="200"/>
      <c r="J57" s="200"/>
    </row>
    <row r="58" spans="1:10" ht="20.100000000000001" customHeight="1">
      <c r="A58" s="4" t="s">
        <v>69</v>
      </c>
      <c r="B58" s="243">
        <v>3440</v>
      </c>
      <c r="C58" s="200">
        <v>9317</v>
      </c>
      <c r="D58" s="200">
        <v>11500</v>
      </c>
      <c r="E58" s="200">
        <v>11500</v>
      </c>
      <c r="F58" s="200">
        <v>1000</v>
      </c>
      <c r="G58" s="200">
        <f>$F$58/4</f>
        <v>250</v>
      </c>
      <c r="H58" s="200">
        <f>$F$58/4</f>
        <v>250</v>
      </c>
      <c r="I58" s="200">
        <f>$F$58/4</f>
        <v>250</v>
      </c>
      <c r="J58" s="200">
        <f>$F$58/4</f>
        <v>250</v>
      </c>
    </row>
    <row r="59" spans="1:10" ht="20.100000000000001" customHeight="1">
      <c r="A59" s="4" t="s">
        <v>74</v>
      </c>
      <c r="B59" s="243">
        <v>3450</v>
      </c>
      <c r="C59" s="200">
        <v>0</v>
      </c>
      <c r="D59" s="200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</row>
    <row r="60" spans="1:10" ht="20.100000000000001" customHeight="1">
      <c r="A60" s="4" t="s">
        <v>93</v>
      </c>
      <c r="B60" s="243">
        <v>3460</v>
      </c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</row>
    <row r="61" spans="1:10" ht="20.100000000000001" customHeight="1">
      <c r="A61" s="4" t="s">
        <v>492</v>
      </c>
      <c r="B61" s="243">
        <v>3470</v>
      </c>
      <c r="C61" s="200">
        <v>12828</v>
      </c>
      <c r="D61" s="200">
        <v>3600</v>
      </c>
      <c r="E61" s="200">
        <v>3600</v>
      </c>
      <c r="F61" s="200">
        <f>'1.Фінансовий результат'!F10</f>
        <v>1600</v>
      </c>
      <c r="G61" s="200">
        <f>'1.Фінансовий результат'!G10</f>
        <v>400</v>
      </c>
      <c r="H61" s="200">
        <f>'1.Фінансовий результат'!H10</f>
        <v>400</v>
      </c>
      <c r="I61" s="200">
        <f>'1.Фінансовий результат'!I10</f>
        <v>400</v>
      </c>
      <c r="J61" s="200">
        <f>'1.Фінансовий результат'!J10</f>
        <v>400</v>
      </c>
    </row>
    <row r="62" spans="1:10">
      <c r="A62" s="4" t="s">
        <v>89</v>
      </c>
      <c r="B62" s="243">
        <v>3480</v>
      </c>
      <c r="C62" s="200">
        <v>0</v>
      </c>
      <c r="D62" s="200">
        <v>893.8</v>
      </c>
      <c r="E62" s="200">
        <v>893.8</v>
      </c>
      <c r="F62" s="200">
        <v>0</v>
      </c>
      <c r="G62" s="200">
        <v>0</v>
      </c>
      <c r="H62" s="200">
        <v>0</v>
      </c>
      <c r="I62" s="200">
        <v>0</v>
      </c>
      <c r="J62" s="200">
        <v>0</v>
      </c>
    </row>
    <row r="63" spans="1:10" s="7" customFormat="1" ht="20.100000000000001" customHeight="1">
      <c r="A63" s="252" t="s">
        <v>187</v>
      </c>
      <c r="B63" s="196"/>
      <c r="C63" s="197"/>
      <c r="D63" s="197"/>
      <c r="E63" s="197"/>
      <c r="F63" s="197"/>
      <c r="G63" s="197"/>
      <c r="H63" s="197"/>
      <c r="I63" s="197"/>
      <c r="J63" s="197"/>
    </row>
    <row r="64" spans="1:10" ht="39.75" customHeight="1">
      <c r="A64" s="4" t="s">
        <v>195</v>
      </c>
      <c r="B64" s="203">
        <v>3490</v>
      </c>
      <c r="C64" s="261">
        <v>0</v>
      </c>
      <c r="D64" s="200">
        <v>309</v>
      </c>
      <c r="E64" s="200">
        <v>309</v>
      </c>
      <c r="F64" s="200">
        <f>'2. Розрахунки з бюджетом'!F9</f>
        <v>227.61060000000001</v>
      </c>
      <c r="G64" s="200">
        <f>'2. Розрахунки з бюджетом'!G9</f>
        <v>48.720300000000002</v>
      </c>
      <c r="H64" s="200">
        <f>'2. Розрахунки з бюджетом'!H9</f>
        <v>59.790300000000002</v>
      </c>
      <c r="I64" s="200">
        <f>'2. Розрахунки з бюджетом'!I9</f>
        <v>59.55</v>
      </c>
      <c r="J64" s="200">
        <f>'2. Розрахунки з бюджетом'!J9</f>
        <v>59.55</v>
      </c>
    </row>
    <row r="65" spans="1:10" ht="20.100000000000001" customHeight="1">
      <c r="A65" s="4" t="s">
        <v>196</v>
      </c>
      <c r="B65" s="203">
        <v>3500</v>
      </c>
      <c r="C65" s="260">
        <v>0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  <c r="I65" s="200">
        <v>0</v>
      </c>
      <c r="J65" s="200">
        <v>0</v>
      </c>
    </row>
    <row r="66" spans="1:10" ht="37.5">
      <c r="A66" s="4" t="s">
        <v>73</v>
      </c>
      <c r="B66" s="203"/>
      <c r="C66" s="200">
        <v>0</v>
      </c>
      <c r="D66" s="200"/>
      <c r="E66" s="200"/>
      <c r="F66" s="200"/>
      <c r="G66" s="200"/>
      <c r="H66" s="200"/>
      <c r="I66" s="200"/>
      <c r="J66" s="200"/>
    </row>
    <row r="67" spans="1:10" ht="20.100000000000001" customHeight="1">
      <c r="A67" s="4" t="s">
        <v>69</v>
      </c>
      <c r="B67" s="243">
        <v>3510</v>
      </c>
      <c r="C67" s="200">
        <v>0</v>
      </c>
      <c r="D67" s="200">
        <v>0</v>
      </c>
      <c r="E67" s="200">
        <v>0</v>
      </c>
      <c r="F67" s="200">
        <v>0</v>
      </c>
      <c r="G67" s="200">
        <v>0</v>
      </c>
      <c r="H67" s="200">
        <v>0</v>
      </c>
      <c r="I67" s="200">
        <v>0</v>
      </c>
      <c r="J67" s="200">
        <v>0</v>
      </c>
    </row>
    <row r="68" spans="1:10" ht="20.100000000000001" customHeight="1">
      <c r="A68" s="4" t="s">
        <v>74</v>
      </c>
      <c r="B68" s="243">
        <v>3520</v>
      </c>
      <c r="C68" s="200">
        <v>0</v>
      </c>
      <c r="D68" s="200">
        <v>0</v>
      </c>
      <c r="E68" s="200">
        <v>0</v>
      </c>
      <c r="F68" s="200">
        <v>0</v>
      </c>
      <c r="G68" s="200">
        <v>0</v>
      </c>
      <c r="H68" s="200">
        <v>0</v>
      </c>
      <c r="I68" s="200">
        <v>0</v>
      </c>
      <c r="J68" s="200">
        <v>0</v>
      </c>
    </row>
    <row r="69" spans="1:10" ht="20.100000000000001" customHeight="1">
      <c r="A69" s="4" t="s">
        <v>93</v>
      </c>
      <c r="B69" s="243">
        <v>3530</v>
      </c>
      <c r="C69" s="200">
        <v>0</v>
      </c>
      <c r="D69" s="200">
        <v>0</v>
      </c>
      <c r="E69" s="200">
        <v>0</v>
      </c>
      <c r="F69" s="200">
        <v>0</v>
      </c>
      <c r="G69" s="200">
        <v>0</v>
      </c>
      <c r="H69" s="200">
        <v>0</v>
      </c>
      <c r="I69" s="200">
        <v>0</v>
      </c>
      <c r="J69" s="200">
        <v>0</v>
      </c>
    </row>
    <row r="70" spans="1:10" ht="37.5">
      <c r="A70" s="4" t="s">
        <v>71</v>
      </c>
      <c r="B70" s="203"/>
      <c r="C70" s="200">
        <v>9317</v>
      </c>
      <c r="D70" s="200"/>
      <c r="E70" s="200"/>
      <c r="F70" s="200"/>
      <c r="G70" s="200"/>
      <c r="H70" s="200"/>
      <c r="I70" s="200"/>
      <c r="J70" s="200"/>
    </row>
    <row r="71" spans="1:10" ht="20.100000000000001" customHeight="1">
      <c r="A71" s="4" t="s">
        <v>69</v>
      </c>
      <c r="B71" s="243">
        <v>3540</v>
      </c>
      <c r="C71" s="260">
        <v>9317</v>
      </c>
      <c r="D71" s="200">
        <v>11500</v>
      </c>
      <c r="E71" s="200">
        <v>11500</v>
      </c>
      <c r="F71" s="200">
        <v>1000</v>
      </c>
      <c r="G71" s="200">
        <f>$F$71/4</f>
        <v>250</v>
      </c>
      <c r="H71" s="200">
        <f t="shared" ref="H71:J71" si="11">$F$71/4</f>
        <v>250</v>
      </c>
      <c r="I71" s="200">
        <f t="shared" si="11"/>
        <v>250</v>
      </c>
      <c r="J71" s="200">
        <f t="shared" si="11"/>
        <v>250</v>
      </c>
    </row>
    <row r="72" spans="1:10" ht="20.100000000000001" customHeight="1">
      <c r="A72" s="4" t="s">
        <v>74</v>
      </c>
      <c r="B72" s="243">
        <v>3550</v>
      </c>
      <c r="C72" s="260">
        <v>0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</row>
    <row r="73" spans="1:10" ht="20.100000000000001" customHeight="1">
      <c r="A73" s="4" t="s">
        <v>93</v>
      </c>
      <c r="B73" s="243">
        <v>3560</v>
      </c>
      <c r="C73" s="260">
        <v>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</row>
    <row r="74" spans="1:10" ht="20.100000000000001" customHeight="1">
      <c r="A74" s="4" t="s">
        <v>84</v>
      </c>
      <c r="B74" s="243">
        <v>3570</v>
      </c>
      <c r="C74" s="260">
        <v>49</v>
      </c>
      <c r="D74" s="200">
        <v>62</v>
      </c>
      <c r="E74" s="200">
        <v>62</v>
      </c>
      <c r="F74" s="200">
        <f>SUM(G74:J74)</f>
        <v>0</v>
      </c>
      <c r="G74" s="200">
        <v>0</v>
      </c>
      <c r="H74" s="200">
        <v>0</v>
      </c>
      <c r="I74" s="200">
        <f>I62</f>
        <v>0</v>
      </c>
      <c r="J74" s="200">
        <v>0</v>
      </c>
    </row>
    <row r="75" spans="1:10">
      <c r="A75" s="252" t="s">
        <v>119</v>
      </c>
      <c r="B75" s="247">
        <v>3580</v>
      </c>
      <c r="C75" s="197">
        <v>12779</v>
      </c>
      <c r="D75" s="197">
        <v>4122.7999999999993</v>
      </c>
      <c r="E75" s="197">
        <v>4122.7999999999993</v>
      </c>
      <c r="F75" s="197">
        <f t="shared" ref="F75" si="12">F52+F54+F55+F56+F58+F59+F60+F61+F62-F64-F65-F67-F68-F69-F71-F72-F73-F74</f>
        <v>1372.3894</v>
      </c>
      <c r="G75" s="197">
        <f t="shared" ref="G75" si="13">G52+G54+G55+G56+G58+G59+G60+G61+G62-G64-G65-G67-G68-G69-G71-G72-G73-G74</f>
        <v>351.27970000000005</v>
      </c>
      <c r="H75" s="197">
        <f t="shared" ref="H75" si="14">H52+H54+H55+H56+H58+H59+H60+H61+H62-H64-H65-H67-H68-H69-H71-H72-H73-H74</f>
        <v>340.2097</v>
      </c>
      <c r="I75" s="197">
        <f t="shared" ref="I75" si="15">I52+I54+I55+I56+I58+I59+I60+I61+I62-I64-I65-I67-I68-I69-I71-I72-I73-I74</f>
        <v>340.45000000000005</v>
      </c>
      <c r="J75" s="197">
        <f t="shared" ref="J75" si="16">J52+J54+J55+J56+J58+J59+J60+J61+J62-J64-J65-J67-J68-J69-J71-J72-J73-J74</f>
        <v>340.45000000000005</v>
      </c>
    </row>
    <row r="76" spans="1:10" s="7" customFormat="1" ht="20.100000000000001" customHeight="1">
      <c r="A76" s="4" t="s">
        <v>15</v>
      </c>
      <c r="B76" s="243"/>
      <c r="C76" s="200"/>
      <c r="D76" s="200"/>
      <c r="E76" s="200"/>
      <c r="F76" s="200"/>
      <c r="G76" s="200"/>
      <c r="H76" s="200"/>
      <c r="I76" s="200"/>
      <c r="J76" s="200"/>
    </row>
    <row r="77" spans="1:10" s="7" customFormat="1">
      <c r="A77" s="202" t="s">
        <v>16</v>
      </c>
      <c r="B77" s="247">
        <v>3600</v>
      </c>
      <c r="C77" s="197">
        <v>689</v>
      </c>
      <c r="D77" s="197">
        <v>37</v>
      </c>
      <c r="E77" s="197">
        <v>37</v>
      </c>
      <c r="F77" s="197">
        <f>E79</f>
        <v>2213.9000000000078</v>
      </c>
      <c r="G77" s="197">
        <f>F77</f>
        <v>2213.9000000000078</v>
      </c>
      <c r="H77" s="197">
        <f>G79</f>
        <v>3506.6014000000068</v>
      </c>
      <c r="I77" s="197">
        <f>H79</f>
        <v>4760.9628000000084</v>
      </c>
      <c r="J77" s="197">
        <f>I79</f>
        <v>6016.2028000000091</v>
      </c>
    </row>
    <row r="78" spans="1:10" s="7" customFormat="1" ht="20.100000000000001" customHeight="1">
      <c r="A78" s="18" t="s">
        <v>125</v>
      </c>
      <c r="B78" s="243">
        <v>3610</v>
      </c>
      <c r="C78" s="197">
        <v>0</v>
      </c>
      <c r="D78" s="197">
        <v>0</v>
      </c>
      <c r="E78" s="197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</row>
    <row r="79" spans="1:10" s="7" customFormat="1">
      <c r="A79" s="202" t="s">
        <v>37</v>
      </c>
      <c r="B79" s="247">
        <v>3620</v>
      </c>
      <c r="C79" s="197">
        <v>37</v>
      </c>
      <c r="D79" s="197">
        <v>2213.9000000000078</v>
      </c>
      <c r="E79" s="197">
        <v>2213.9000000000078</v>
      </c>
      <c r="F79" s="197">
        <f t="shared" ref="F79:J79" si="17">SUM(F32,F49,F75,F77)</f>
        <v>1721.4428000000034</v>
      </c>
      <c r="G79" s="197">
        <f t="shared" si="17"/>
        <v>3506.6014000000068</v>
      </c>
      <c r="H79" s="197">
        <f t="shared" si="17"/>
        <v>4760.9628000000084</v>
      </c>
      <c r="I79" s="197">
        <f t="shared" si="17"/>
        <v>6016.2028000000091</v>
      </c>
      <c r="J79" s="197">
        <f t="shared" si="17"/>
        <v>1721.4428000000098</v>
      </c>
    </row>
    <row r="80" spans="1:10" s="7" customFormat="1">
      <c r="A80" s="202" t="s">
        <v>17</v>
      </c>
      <c r="B80" s="247">
        <v>3630</v>
      </c>
      <c r="C80" s="197">
        <v>-652</v>
      </c>
      <c r="D80" s="197">
        <v>2176.9000000000078</v>
      </c>
      <c r="E80" s="197">
        <v>2176.9000000000078</v>
      </c>
      <c r="F80" s="197">
        <f t="shared" ref="F80:J80" si="18">F32+F49+F75</f>
        <v>-492.45720000000438</v>
      </c>
      <c r="G80" s="197">
        <f t="shared" si="18"/>
        <v>1292.701399999999</v>
      </c>
      <c r="H80" s="197">
        <f t="shared" si="18"/>
        <v>1254.361400000002</v>
      </c>
      <c r="I80" s="197">
        <f t="shared" si="18"/>
        <v>1255.2400000000009</v>
      </c>
      <c r="J80" s="197">
        <f t="shared" si="18"/>
        <v>-4294.7599999999993</v>
      </c>
    </row>
    <row r="81" spans="1:10" s="7" customFormat="1" ht="20.100000000000001" customHeight="1">
      <c r="A81" s="2"/>
      <c r="B81" s="204"/>
      <c r="C81" s="205"/>
      <c r="D81" s="205"/>
      <c r="E81" s="205"/>
      <c r="F81" s="206"/>
      <c r="G81" s="207"/>
      <c r="H81" s="207"/>
      <c r="I81" s="207"/>
      <c r="J81" s="207"/>
    </row>
    <row r="82" spans="1:10" s="7" customFormat="1" ht="20.100000000000001" customHeight="1">
      <c r="A82" s="2"/>
      <c r="B82" s="204"/>
      <c r="C82" s="205"/>
      <c r="D82" s="205"/>
      <c r="E82" s="205"/>
      <c r="F82" s="206"/>
      <c r="G82" s="207"/>
      <c r="H82" s="207"/>
      <c r="I82" s="207"/>
      <c r="J82" s="207"/>
    </row>
    <row r="83" spans="1:10" s="49" customFormat="1" ht="19.5" customHeight="1">
      <c r="A83" s="38" t="s">
        <v>631</v>
      </c>
      <c r="B83" s="1"/>
      <c r="C83" s="299" t="s">
        <v>81</v>
      </c>
      <c r="D83" s="299"/>
      <c r="E83" s="299"/>
      <c r="F83" s="300"/>
      <c r="G83" s="6"/>
      <c r="H83" s="301" t="s">
        <v>626</v>
      </c>
      <c r="I83" s="301"/>
      <c r="J83" s="301"/>
    </row>
    <row r="84" spans="1:10" ht="16.5" customHeight="1">
      <c r="A84" s="39" t="s">
        <v>59</v>
      </c>
      <c r="B84" s="36"/>
      <c r="C84" s="294" t="s">
        <v>60</v>
      </c>
      <c r="D84" s="294"/>
      <c r="E84" s="294"/>
      <c r="F84" s="294"/>
      <c r="G84" s="37"/>
      <c r="H84" s="294" t="s">
        <v>78</v>
      </c>
      <c r="I84" s="294"/>
      <c r="J84" s="294"/>
    </row>
    <row r="85" spans="1:10">
      <c r="C85" s="3"/>
      <c r="D85" s="3"/>
      <c r="E85" s="3"/>
    </row>
    <row r="86" spans="1:10">
      <c r="C86" s="3"/>
      <c r="D86" s="3"/>
      <c r="E86" s="3"/>
    </row>
    <row r="87" spans="1:10">
      <c r="C87" s="3"/>
      <c r="D87" s="3"/>
      <c r="E87" s="3"/>
    </row>
    <row r="88" spans="1:10">
      <c r="C88" s="3"/>
      <c r="D88" s="3"/>
      <c r="E88" s="3"/>
    </row>
    <row r="89" spans="1:10">
      <c r="C89" s="3"/>
      <c r="D89" s="3"/>
      <c r="E89" s="3"/>
    </row>
    <row r="90" spans="1:10">
      <c r="C90" s="3"/>
      <c r="D90" s="3"/>
      <c r="E90" s="3"/>
    </row>
    <row r="91" spans="1:10">
      <c r="C91" s="3"/>
      <c r="D91" s="3"/>
      <c r="E91" s="3"/>
    </row>
    <row r="92" spans="1:10">
      <c r="C92" s="3"/>
      <c r="D92" s="3"/>
      <c r="E92" s="3"/>
    </row>
    <row r="93" spans="1:10">
      <c r="C93" s="3"/>
      <c r="D93" s="3"/>
      <c r="E93" s="3"/>
    </row>
    <row r="94" spans="1:10">
      <c r="C94" s="3"/>
      <c r="D94" s="3"/>
      <c r="E94" s="3"/>
    </row>
    <row r="95" spans="1:10">
      <c r="C95" s="3"/>
      <c r="D95" s="3"/>
      <c r="E95" s="3"/>
    </row>
    <row r="96" spans="1:10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</sheetData>
  <mergeCells count="15">
    <mergeCell ref="A2:J2"/>
    <mergeCell ref="A4:A5"/>
    <mergeCell ref="B4:B5"/>
    <mergeCell ref="C4:C5"/>
    <mergeCell ref="F4:F5"/>
    <mergeCell ref="G4:J4"/>
    <mergeCell ref="E4:E5"/>
    <mergeCell ref="D4:D5"/>
    <mergeCell ref="C84:F84"/>
    <mergeCell ref="H84:J84"/>
    <mergeCell ref="A33:J33"/>
    <mergeCell ref="A7:J7"/>
    <mergeCell ref="A50:J50"/>
    <mergeCell ref="C83:F83"/>
    <mergeCell ref="H83:J83"/>
  </mergeCells>
  <phoneticPr fontId="3" type="noConversion"/>
  <pageMargins left="0.51181102362204722" right="0.19685039370078741" top="0.59055118110236227" bottom="0.59055118110236227" header="0.19685039370078741" footer="0.23622047244094491"/>
  <pageSetup paperSize="9" scale="50" firstPageNumber="6" fitToHeight="0" orientation="portrait" useFirstPageNumber="1" r:id="rId1"/>
  <headerFooter alignWithMargins="0">
    <oddHeader>&amp;R&amp;"Times New Roman,обычный"&amp;14Таблиця 3</oddHeader>
    <oddFooter>&amp;C&amp;P</oddFooter>
  </headerFooter>
  <rowBreaks count="1" manualBreakCount="1">
    <brk id="62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Q190"/>
  <sheetViews>
    <sheetView view="pageBreakPreview" zoomScale="70" zoomScaleNormal="75" zoomScaleSheetLayoutView="70" zoomScalePageLayoutView="70" workbookViewId="0">
      <pane ySplit="6" topLeftCell="A7" activePane="bottomLeft" state="frozen"/>
      <selection pane="bottomLeft" activeCell="F11" sqref="F11"/>
    </sheetView>
  </sheetViews>
  <sheetFormatPr defaultRowHeight="18.75"/>
  <cols>
    <col min="1" max="1" width="49.85546875" style="49" customWidth="1"/>
    <col min="2" max="2" width="10.42578125" style="9" customWidth="1"/>
    <col min="3" max="3" width="16.140625" style="9" customWidth="1"/>
    <col min="4" max="4" width="17" style="9" customWidth="1"/>
    <col min="5" max="5" width="15.5703125" style="9" customWidth="1"/>
    <col min="6" max="6" width="17.28515625" style="49" customWidth="1"/>
    <col min="7" max="7" width="12.85546875" style="49" customWidth="1"/>
    <col min="8" max="8" width="11.85546875" style="49" customWidth="1"/>
    <col min="9" max="9" width="13.42578125" style="49" customWidth="1"/>
    <col min="10" max="10" width="14.5703125" style="49" customWidth="1"/>
    <col min="11" max="11" width="9.5703125" style="49" customWidth="1"/>
    <col min="12" max="12" width="9.85546875" style="49" customWidth="1"/>
    <col min="13" max="16384" width="9.140625" style="49"/>
  </cols>
  <sheetData>
    <row r="2" spans="1:17">
      <c r="A2" s="292" t="s">
        <v>159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7">
      <c r="A3" s="208"/>
      <c r="B3" s="208"/>
      <c r="C3" s="208"/>
      <c r="D3" s="208"/>
      <c r="E3" s="208"/>
      <c r="F3" s="208"/>
      <c r="G3" s="208"/>
      <c r="H3" s="208"/>
      <c r="I3" s="208"/>
      <c r="J3" s="209" t="s">
        <v>501</v>
      </c>
    </row>
    <row r="4" spans="1:17" ht="41.25" customHeight="1">
      <c r="A4" s="295" t="s">
        <v>181</v>
      </c>
      <c r="B4" s="296" t="s">
        <v>5</v>
      </c>
      <c r="C4" s="297" t="s">
        <v>627</v>
      </c>
      <c r="D4" s="297" t="s">
        <v>628</v>
      </c>
      <c r="E4" s="297" t="s">
        <v>629</v>
      </c>
      <c r="F4" s="297" t="s">
        <v>630</v>
      </c>
      <c r="G4" s="296" t="s">
        <v>255</v>
      </c>
      <c r="H4" s="296"/>
      <c r="I4" s="296"/>
      <c r="J4" s="296"/>
    </row>
    <row r="5" spans="1:17" ht="24" customHeight="1">
      <c r="A5" s="295"/>
      <c r="B5" s="296"/>
      <c r="C5" s="298" t="s">
        <v>395</v>
      </c>
      <c r="D5" s="298"/>
      <c r="E5" s="298" t="s">
        <v>394</v>
      </c>
      <c r="F5" s="298" t="s">
        <v>393</v>
      </c>
      <c r="G5" s="53" t="s">
        <v>139</v>
      </c>
      <c r="H5" s="53" t="s">
        <v>140</v>
      </c>
      <c r="I5" s="53" t="s">
        <v>141</v>
      </c>
      <c r="J5" s="53" t="s">
        <v>54</v>
      </c>
    </row>
    <row r="6" spans="1:17" ht="18" customHeight="1">
      <c r="A6" s="227">
        <v>1</v>
      </c>
      <c r="B6" s="226">
        <v>2</v>
      </c>
      <c r="C6" s="226">
        <v>3</v>
      </c>
      <c r="D6" s="226">
        <v>4</v>
      </c>
      <c r="E6" s="227">
        <v>5</v>
      </c>
      <c r="F6" s="227">
        <v>6</v>
      </c>
      <c r="G6" s="227">
        <v>7</v>
      </c>
      <c r="H6" s="227">
        <v>8</v>
      </c>
      <c r="I6" s="227">
        <v>9</v>
      </c>
      <c r="J6" s="227">
        <v>10</v>
      </c>
    </row>
    <row r="7" spans="1:17" s="57" customFormat="1" ht="42.75" customHeight="1">
      <c r="A7" s="202" t="s">
        <v>62</v>
      </c>
      <c r="B7" s="210">
        <v>4000</v>
      </c>
      <c r="C7" s="211">
        <f>SUM(C8,C10,C16,C18,C19)</f>
        <v>5582.0868000000009</v>
      </c>
      <c r="D7" s="211">
        <f t="shared" ref="D7:J7" si="0">D8+D10+D16+D18+D19</f>
        <v>2039.8</v>
      </c>
      <c r="E7" s="211">
        <f t="shared" si="0"/>
        <v>2039.8</v>
      </c>
      <c r="F7" s="211">
        <f t="shared" si="0"/>
        <v>7423</v>
      </c>
      <c r="G7" s="211">
        <f t="shared" si="0"/>
        <v>137.5</v>
      </c>
      <c r="H7" s="211">
        <f t="shared" si="0"/>
        <v>137.5</v>
      </c>
      <c r="I7" s="211">
        <f t="shared" si="0"/>
        <v>1460.5</v>
      </c>
      <c r="J7" s="211">
        <f t="shared" si="0"/>
        <v>5687.5</v>
      </c>
    </row>
    <row r="8" spans="1:17" ht="20.100000000000001" customHeight="1">
      <c r="A8" s="202" t="s">
        <v>0</v>
      </c>
      <c r="B8" s="212" t="s">
        <v>166</v>
      </c>
      <c r="C8" s="211">
        <v>0</v>
      </c>
      <c r="D8" s="211">
        <v>205</v>
      </c>
      <c r="E8" s="211">
        <v>205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</row>
    <row r="9" spans="1:17" s="269" customFormat="1" ht="47.25">
      <c r="A9" s="213" t="s">
        <v>686</v>
      </c>
      <c r="B9" s="216" t="s">
        <v>684</v>
      </c>
      <c r="C9" s="215">
        <v>0</v>
      </c>
      <c r="D9" s="214">
        <v>205</v>
      </c>
      <c r="E9" s="214">
        <v>205</v>
      </c>
      <c r="F9" s="214">
        <v>0</v>
      </c>
      <c r="G9" s="215">
        <v>0</v>
      </c>
      <c r="H9" s="215">
        <v>0</v>
      </c>
      <c r="I9" s="215">
        <v>0</v>
      </c>
      <c r="J9" s="215">
        <v>0</v>
      </c>
      <c r="Q9" s="274"/>
    </row>
    <row r="10" spans="1:17" ht="37.5">
      <c r="A10" s="202" t="s">
        <v>513</v>
      </c>
      <c r="B10" s="210">
        <v>4020</v>
      </c>
      <c r="C10" s="211">
        <f>SUM(C11:C14)</f>
        <v>5344.6868000000004</v>
      </c>
      <c r="D10" s="211">
        <f>SUM(D11:D14)</f>
        <v>1140</v>
      </c>
      <c r="E10" s="211">
        <f>SUM(E11:E14)</f>
        <v>1140</v>
      </c>
      <c r="F10" s="211">
        <f>SUM(F11:F15)</f>
        <v>7173</v>
      </c>
      <c r="G10" s="211">
        <f t="shared" ref="G10:J10" si="1">SUM(G11:G15)</f>
        <v>75</v>
      </c>
      <c r="H10" s="211">
        <f t="shared" si="1"/>
        <v>75</v>
      </c>
      <c r="I10" s="211">
        <f t="shared" si="1"/>
        <v>1398</v>
      </c>
      <c r="J10" s="211">
        <f t="shared" si="1"/>
        <v>5625</v>
      </c>
      <c r="Q10" s="193"/>
    </row>
    <row r="11" spans="1:17">
      <c r="A11" s="213" t="s">
        <v>546</v>
      </c>
      <c r="B11" s="216" t="s">
        <v>512</v>
      </c>
      <c r="C11" s="214">
        <v>0</v>
      </c>
      <c r="D11" s="214">
        <v>0</v>
      </c>
      <c r="E11" s="214">
        <v>0</v>
      </c>
      <c r="F11" s="214">
        <v>323</v>
      </c>
      <c r="G11" s="215">
        <v>0</v>
      </c>
      <c r="H11" s="215">
        <v>0</v>
      </c>
      <c r="I11" s="215">
        <f>F11</f>
        <v>323</v>
      </c>
      <c r="J11" s="215">
        <v>0</v>
      </c>
      <c r="Q11" s="193"/>
    </row>
    <row r="12" spans="1:17">
      <c r="A12" s="213" t="s">
        <v>548</v>
      </c>
      <c r="B12" s="216" t="s">
        <v>517</v>
      </c>
      <c r="C12" s="215">
        <v>241.4</v>
      </c>
      <c r="D12" s="214">
        <v>140</v>
      </c>
      <c r="E12" s="214">
        <v>140</v>
      </c>
      <c r="F12" s="214">
        <v>300</v>
      </c>
      <c r="G12" s="215">
        <f>$F$12/4</f>
        <v>75</v>
      </c>
      <c r="H12" s="215">
        <f t="shared" ref="H12:J12" si="2">$F$12/4</f>
        <v>75</v>
      </c>
      <c r="I12" s="215">
        <f t="shared" si="2"/>
        <v>75</v>
      </c>
      <c r="J12" s="215">
        <f t="shared" si="2"/>
        <v>75</v>
      </c>
      <c r="Q12" s="193"/>
    </row>
    <row r="13" spans="1:17">
      <c r="A13" s="213" t="s">
        <v>625</v>
      </c>
      <c r="B13" s="216" t="s">
        <v>543</v>
      </c>
      <c r="C13" s="215">
        <v>3615</v>
      </c>
      <c r="D13" s="214">
        <v>0</v>
      </c>
      <c r="E13" s="214">
        <v>0</v>
      </c>
      <c r="F13" s="214">
        <v>3050</v>
      </c>
      <c r="G13" s="215">
        <v>0</v>
      </c>
      <c r="H13" s="215">
        <v>0</v>
      </c>
      <c r="I13" s="215">
        <v>0</v>
      </c>
      <c r="J13" s="215">
        <v>3050</v>
      </c>
      <c r="Q13" s="193"/>
    </row>
    <row r="14" spans="1:17">
      <c r="A14" s="213" t="s">
        <v>516</v>
      </c>
      <c r="B14" s="216" t="s">
        <v>544</v>
      </c>
      <c r="C14" s="215">
        <v>1488.2868000000001</v>
      </c>
      <c r="D14" s="214">
        <v>1000</v>
      </c>
      <c r="E14" s="214">
        <v>1000</v>
      </c>
      <c r="F14" s="214">
        <v>1000</v>
      </c>
      <c r="G14" s="215">
        <v>0</v>
      </c>
      <c r="H14" s="215">
        <v>0</v>
      </c>
      <c r="I14" s="215">
        <v>1000</v>
      </c>
      <c r="J14" s="215">
        <v>0</v>
      </c>
      <c r="Q14" s="193"/>
    </row>
    <row r="15" spans="1:17">
      <c r="A15" s="213" t="s">
        <v>661</v>
      </c>
      <c r="B15" s="216" t="s">
        <v>545</v>
      </c>
      <c r="C15" s="215">
        <v>0</v>
      </c>
      <c r="D15" s="214">
        <v>0</v>
      </c>
      <c r="E15" s="214">
        <v>0</v>
      </c>
      <c r="F15" s="214">
        <v>2500</v>
      </c>
      <c r="G15" s="215">
        <v>0</v>
      </c>
      <c r="H15" s="215">
        <v>0</v>
      </c>
      <c r="I15" s="215">
        <v>0</v>
      </c>
      <c r="J15" s="215">
        <v>2500</v>
      </c>
      <c r="Q15" s="193"/>
    </row>
    <row r="16" spans="1:17" ht="39" customHeight="1">
      <c r="A16" s="202" t="s">
        <v>515</v>
      </c>
      <c r="B16" s="212">
        <v>4030</v>
      </c>
      <c r="C16" s="211">
        <f>SUM(C17:C17)</f>
        <v>128.80000000000001</v>
      </c>
      <c r="D16" s="211">
        <f>SUM(D17:D17)</f>
        <v>191</v>
      </c>
      <c r="E16" s="211">
        <v>191</v>
      </c>
      <c r="F16" s="211">
        <f>SUM(F17:F17)</f>
        <v>250</v>
      </c>
      <c r="G16" s="211">
        <f>SUM(G17:G17)</f>
        <v>62.5</v>
      </c>
      <c r="H16" s="211">
        <f>SUM(H17:H17)</f>
        <v>62.5</v>
      </c>
      <c r="I16" s="211">
        <f>SUM(I17:I17)</f>
        <v>62.5</v>
      </c>
      <c r="J16" s="211">
        <f>SUM(J17:J17)</f>
        <v>62.5</v>
      </c>
      <c r="P16" s="193"/>
    </row>
    <row r="17" spans="1:16">
      <c r="A17" s="262" t="s">
        <v>548</v>
      </c>
      <c r="B17" s="216" t="s">
        <v>547</v>
      </c>
      <c r="C17" s="215">
        <v>128.80000000000001</v>
      </c>
      <c r="D17" s="214">
        <v>191</v>
      </c>
      <c r="E17" s="214">
        <v>191</v>
      </c>
      <c r="F17" s="218">
        <v>250</v>
      </c>
      <c r="G17" s="215">
        <f>$F$17/4</f>
        <v>62.5</v>
      </c>
      <c r="H17" s="215">
        <f t="shared" ref="H17:J17" si="3">$F$17/4</f>
        <v>62.5</v>
      </c>
      <c r="I17" s="215">
        <f t="shared" si="3"/>
        <v>62.5</v>
      </c>
      <c r="J17" s="215">
        <f t="shared" si="3"/>
        <v>62.5</v>
      </c>
      <c r="P17" s="193"/>
    </row>
    <row r="18" spans="1:16" ht="37.5">
      <c r="A18" s="202" t="s">
        <v>1</v>
      </c>
      <c r="B18" s="210">
        <v>4040</v>
      </c>
      <c r="C18" s="211">
        <v>108.6</v>
      </c>
      <c r="D18" s="211">
        <v>3.8</v>
      </c>
      <c r="E18" s="211">
        <v>3.8</v>
      </c>
      <c r="F18" s="219">
        <f>G18+H18+I18+J18</f>
        <v>0</v>
      </c>
      <c r="G18" s="219">
        <f>H18+I18+J18+K18</f>
        <v>0</v>
      </c>
      <c r="H18" s="219">
        <f>I18+J18+K18+L18</f>
        <v>0</v>
      </c>
      <c r="I18" s="219">
        <f>J18+K18+L18+M18</f>
        <v>0</v>
      </c>
      <c r="J18" s="219">
        <f>K18+L18+M18+N18</f>
        <v>0</v>
      </c>
    </row>
    <row r="19" spans="1:16" ht="42" customHeight="1">
      <c r="A19" s="202" t="s">
        <v>514</v>
      </c>
      <c r="B19" s="212">
        <v>4050</v>
      </c>
      <c r="C19" s="211">
        <v>0</v>
      </c>
      <c r="D19" s="211">
        <v>500</v>
      </c>
      <c r="E19" s="211">
        <v>500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</row>
    <row r="20" spans="1:16" ht="31.5">
      <c r="A20" s="217" t="s">
        <v>685</v>
      </c>
      <c r="B20" s="216" t="s">
        <v>575</v>
      </c>
      <c r="C20" s="214">
        <v>0</v>
      </c>
      <c r="D20" s="214">
        <v>400</v>
      </c>
      <c r="E20" s="214">
        <v>400</v>
      </c>
      <c r="F20" s="220">
        <v>0</v>
      </c>
      <c r="G20" s="215">
        <v>0</v>
      </c>
      <c r="H20" s="215">
        <v>0</v>
      </c>
      <c r="I20" s="215">
        <v>0</v>
      </c>
      <c r="J20" s="215">
        <v>0</v>
      </c>
    </row>
    <row r="21" spans="1:16" ht="20.100000000000001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6" s="2" customFormat="1" ht="20.100000000000001" customHeight="1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49"/>
    </row>
    <row r="23" spans="1:16" ht="19.5" customHeight="1">
      <c r="A23" s="38" t="s">
        <v>631</v>
      </c>
      <c r="B23" s="1"/>
      <c r="C23" s="299" t="s">
        <v>81</v>
      </c>
      <c r="D23" s="299"/>
      <c r="E23" s="299"/>
      <c r="F23" s="300"/>
      <c r="G23" s="6"/>
      <c r="H23" s="301" t="s">
        <v>626</v>
      </c>
      <c r="I23" s="301"/>
      <c r="J23" s="301"/>
    </row>
    <row r="24" spans="1:16" s="2" customFormat="1" ht="15.75" customHeight="1">
      <c r="A24" s="39" t="s">
        <v>59</v>
      </c>
      <c r="B24" s="36"/>
      <c r="C24" s="294" t="s">
        <v>60</v>
      </c>
      <c r="D24" s="294"/>
      <c r="E24" s="294"/>
      <c r="F24" s="294"/>
      <c r="G24" s="37"/>
      <c r="H24" s="294" t="s">
        <v>78</v>
      </c>
      <c r="I24" s="294"/>
      <c r="J24" s="294"/>
    </row>
    <row r="25" spans="1:16">
      <c r="A25" s="13"/>
    </row>
    <row r="26" spans="1:16">
      <c r="A26" s="13"/>
    </row>
    <row r="27" spans="1:16">
      <c r="A27" s="13"/>
    </row>
    <row r="28" spans="1:16">
      <c r="A28" s="13"/>
    </row>
    <row r="29" spans="1:16">
      <c r="A29" s="13"/>
    </row>
    <row r="30" spans="1:16">
      <c r="A30" s="13"/>
    </row>
    <row r="31" spans="1:16">
      <c r="A31" s="13"/>
    </row>
    <row r="32" spans="1:1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</sheetData>
  <mergeCells count="14">
    <mergeCell ref="A2:J2"/>
    <mergeCell ref="B4:B5"/>
    <mergeCell ref="C4:C5"/>
    <mergeCell ref="F4:F5"/>
    <mergeCell ref="E4:E5"/>
    <mergeCell ref="G4:J4"/>
    <mergeCell ref="C23:F23"/>
    <mergeCell ref="H23:J23"/>
    <mergeCell ref="C24:F24"/>
    <mergeCell ref="H24:J24"/>
    <mergeCell ref="A4:A5"/>
    <mergeCell ref="D4:D5"/>
    <mergeCell ref="A21:J21"/>
    <mergeCell ref="A22:J22"/>
  </mergeCells>
  <phoneticPr fontId="0" type="noConversion"/>
  <pageMargins left="0.51181102362204722" right="0.19685039370078741" top="0.78740157480314965" bottom="0.78740157480314965" header="0.27559055118110237" footer="0.31496062992125984"/>
  <pageSetup paperSize="9" scale="42" firstPageNumber="8" fitToHeight="0" orientation="portrait" useFirstPageNumber="1" r:id="rId1"/>
  <headerFooter alignWithMargins="0">
    <oddHeader>&amp;R&amp;"Times New Roman,обычный"&amp;14Таблиця 4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CCFF"/>
  </sheetPr>
  <dimension ref="A1:AG118"/>
  <sheetViews>
    <sheetView view="pageBreakPreview" topLeftCell="G85" zoomScale="70" zoomScaleNormal="75" zoomScaleSheetLayoutView="70" zoomScalePageLayoutView="70" workbookViewId="0">
      <selection activeCell="H15" sqref="H15:I15"/>
    </sheetView>
  </sheetViews>
  <sheetFormatPr defaultRowHeight="15.75"/>
  <cols>
    <col min="1" max="1" width="62.42578125" style="8" customWidth="1"/>
    <col min="2" max="3" width="16.5703125" style="69" customWidth="1"/>
    <col min="4" max="4" width="17.28515625" style="69" customWidth="1"/>
    <col min="5" max="5" width="21.140625" style="8" customWidth="1"/>
    <col min="6" max="6" width="21.85546875" style="8" customWidth="1"/>
    <col min="7" max="7" width="20.42578125" style="8" customWidth="1"/>
    <col min="8" max="8" width="21.85546875" style="8" customWidth="1"/>
    <col min="9" max="9" width="19.42578125" style="8" customWidth="1"/>
    <col min="10" max="10" width="17.42578125" style="8" customWidth="1"/>
    <col min="11" max="11" width="16.5703125" style="8" customWidth="1"/>
    <col min="12" max="12" width="16.85546875" style="8" customWidth="1"/>
    <col min="13" max="15" width="16.7109375" style="8" customWidth="1"/>
    <col min="16" max="16" width="12.5703125" style="8" customWidth="1"/>
    <col min="17" max="17" width="11" style="8" customWidth="1"/>
    <col min="18" max="18" width="10.28515625" style="8" customWidth="1"/>
    <col min="19" max="19" width="10.85546875" style="8" customWidth="1"/>
    <col min="20" max="20" width="16.5703125" style="8" customWidth="1"/>
    <col min="21" max="21" width="9.140625" style="8"/>
    <col min="22" max="22" width="11" style="8" bestFit="1" customWidth="1"/>
    <col min="23" max="24" width="9.140625" style="8"/>
    <col min="25" max="25" width="16.85546875" style="8" customWidth="1"/>
    <col min="26" max="16384" width="9.140625" style="8"/>
  </cols>
  <sheetData>
    <row r="1" spans="1:17" ht="20.25">
      <c r="A1" s="355" t="s">
        <v>94</v>
      </c>
      <c r="B1" s="355"/>
      <c r="C1" s="355"/>
      <c r="D1" s="355"/>
      <c r="E1" s="355"/>
      <c r="F1" s="355"/>
      <c r="G1" s="355"/>
      <c r="H1" s="355"/>
      <c r="I1" s="355"/>
      <c r="J1" s="146"/>
      <c r="K1" s="146"/>
      <c r="L1" s="146"/>
      <c r="M1" s="146"/>
      <c r="N1" s="146"/>
      <c r="O1" s="146"/>
    </row>
    <row r="2" spans="1:17" ht="20.25">
      <c r="A2" s="355" t="s">
        <v>663</v>
      </c>
      <c r="B2" s="355"/>
      <c r="C2" s="355"/>
      <c r="D2" s="355"/>
      <c r="E2" s="355"/>
      <c r="F2" s="355"/>
      <c r="G2" s="355"/>
      <c r="H2" s="355"/>
      <c r="I2" s="355"/>
      <c r="J2" s="146"/>
      <c r="K2" s="146"/>
      <c r="L2" s="146"/>
      <c r="M2" s="146"/>
      <c r="N2" s="146"/>
      <c r="O2" s="146"/>
    </row>
    <row r="3" spans="1:17" ht="20.25">
      <c r="A3" s="359" t="s">
        <v>259</v>
      </c>
      <c r="B3" s="359"/>
      <c r="C3" s="359"/>
      <c r="D3" s="359"/>
      <c r="E3" s="359"/>
      <c r="F3" s="359"/>
      <c r="G3" s="359"/>
      <c r="H3" s="359"/>
      <c r="I3" s="359"/>
      <c r="J3" s="230"/>
      <c r="K3" s="230"/>
      <c r="L3" s="230"/>
      <c r="M3" s="230"/>
      <c r="N3" s="230"/>
      <c r="O3" s="230"/>
    </row>
    <row r="4" spans="1:17">
      <c r="A4" s="358" t="s">
        <v>98</v>
      </c>
      <c r="B4" s="358"/>
      <c r="C4" s="358"/>
      <c r="D4" s="358"/>
      <c r="E4" s="358"/>
      <c r="F4" s="358"/>
      <c r="G4" s="358"/>
      <c r="H4" s="358"/>
      <c r="I4" s="358"/>
      <c r="J4" s="230"/>
      <c r="K4" s="230"/>
      <c r="L4" s="230"/>
      <c r="M4" s="230"/>
      <c r="N4" s="230"/>
      <c r="O4" s="230"/>
    </row>
    <row r="5" spans="1:17" ht="21.95" customHeight="1">
      <c r="A5" s="236" t="s">
        <v>556</v>
      </c>
      <c r="B5" s="236"/>
      <c r="C5" s="285"/>
      <c r="D5" s="285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7" ht="18.75" customHeight="1">
      <c r="A6" s="61" t="s">
        <v>555</v>
      </c>
      <c r="B6" s="62"/>
      <c r="C6" s="8"/>
      <c r="D6" s="8"/>
    </row>
    <row r="7" spans="1:17" s="228" customFormat="1" ht="81" customHeight="1">
      <c r="A7" s="235" t="s">
        <v>181</v>
      </c>
      <c r="B7" s="225" t="s">
        <v>627</v>
      </c>
      <c r="C7" s="279" t="s">
        <v>628</v>
      </c>
      <c r="D7" s="279" t="s">
        <v>629</v>
      </c>
      <c r="E7" s="225" t="s">
        <v>630</v>
      </c>
      <c r="F7" s="349" t="s">
        <v>256</v>
      </c>
      <c r="G7" s="349"/>
      <c r="H7" s="321" t="s">
        <v>257</v>
      </c>
      <c r="I7" s="327"/>
      <c r="J7" s="231"/>
      <c r="K7" s="232"/>
      <c r="L7" s="232"/>
      <c r="M7" s="232"/>
      <c r="N7" s="230"/>
      <c r="O7" s="230"/>
    </row>
    <row r="8" spans="1:17" s="228" customFormat="1" ht="18" customHeight="1">
      <c r="A8" s="235">
        <v>1</v>
      </c>
      <c r="B8" s="225">
        <v>2</v>
      </c>
      <c r="C8" s="279">
        <v>3</v>
      </c>
      <c r="D8" s="279">
        <v>4</v>
      </c>
      <c r="E8" s="225">
        <v>5</v>
      </c>
      <c r="F8" s="349">
        <v>6</v>
      </c>
      <c r="G8" s="349"/>
      <c r="H8" s="321">
        <v>7</v>
      </c>
      <c r="I8" s="327"/>
      <c r="M8" s="232"/>
      <c r="N8" s="230"/>
      <c r="O8" s="231"/>
      <c r="P8" s="232"/>
      <c r="Q8" s="232" t="s">
        <v>537</v>
      </c>
    </row>
    <row r="9" spans="1:17" s="228" customFormat="1" ht="20.100000000000001" customHeight="1">
      <c r="A9" s="63" t="s">
        <v>99</v>
      </c>
      <c r="B9" s="263">
        <f>SUM(B10:B15)</f>
        <v>85</v>
      </c>
      <c r="C9" s="264">
        <v>80</v>
      </c>
      <c r="D9" s="263">
        <v>80</v>
      </c>
      <c r="E9" s="263">
        <f>SUM(E10:E15)</f>
        <v>82</v>
      </c>
      <c r="F9" s="350">
        <f>E9/D9*100%</f>
        <v>1.0249999999999999</v>
      </c>
      <c r="G9" s="350"/>
      <c r="H9" s="347"/>
      <c r="I9" s="323"/>
      <c r="M9" s="145"/>
      <c r="N9" s="64"/>
      <c r="O9" s="240"/>
      <c r="P9" s="26"/>
      <c r="Q9" s="145" t="s">
        <v>538</v>
      </c>
    </row>
    <row r="10" spans="1:17" s="228" customFormat="1" ht="20.100000000000001" customHeight="1">
      <c r="A10" s="24" t="s">
        <v>197</v>
      </c>
      <c r="B10" s="237">
        <v>6</v>
      </c>
      <c r="C10" s="282">
        <v>9</v>
      </c>
      <c r="D10" s="282">
        <v>9</v>
      </c>
      <c r="E10" s="237">
        <v>9</v>
      </c>
      <c r="F10" s="328">
        <f>E10/D10*100</f>
        <v>100</v>
      </c>
      <c r="G10" s="328"/>
      <c r="H10" s="360" t="s">
        <v>697</v>
      </c>
      <c r="I10" s="361"/>
      <c r="M10" s="145"/>
      <c r="N10" s="64"/>
      <c r="O10" s="240" t="s">
        <v>576</v>
      </c>
      <c r="P10" s="145">
        <v>200</v>
      </c>
      <c r="Q10" s="145" t="s">
        <v>539</v>
      </c>
    </row>
    <row r="11" spans="1:17" s="228" customFormat="1" ht="20.100000000000001" customHeight="1">
      <c r="A11" s="24" t="s">
        <v>198</v>
      </c>
      <c r="B11" s="237">
        <v>8</v>
      </c>
      <c r="C11" s="282">
        <v>7</v>
      </c>
      <c r="D11" s="282">
        <v>7</v>
      </c>
      <c r="E11" s="237">
        <v>11</v>
      </c>
      <c r="F11" s="328">
        <f>E11/D11*100</f>
        <v>157.14285714285714</v>
      </c>
      <c r="G11" s="328"/>
      <c r="H11" s="362"/>
      <c r="I11" s="363"/>
      <c r="M11" s="145"/>
      <c r="N11" s="64"/>
      <c r="O11" s="240" t="s">
        <v>577</v>
      </c>
      <c r="P11" s="145">
        <f>12.8*12</f>
        <v>153.60000000000002</v>
      </c>
      <c r="Q11" s="145" t="s">
        <v>540</v>
      </c>
    </row>
    <row r="12" spans="1:17" s="228" customFormat="1" ht="20.100000000000001" customHeight="1">
      <c r="A12" s="24" t="s">
        <v>199</v>
      </c>
      <c r="B12" s="237">
        <v>6</v>
      </c>
      <c r="C12" s="282">
        <v>6</v>
      </c>
      <c r="D12" s="282">
        <v>6</v>
      </c>
      <c r="E12" s="237">
        <v>6</v>
      </c>
      <c r="F12" s="328">
        <f>E12/D12*100</f>
        <v>100</v>
      </c>
      <c r="G12" s="328"/>
      <c r="H12" s="362"/>
      <c r="I12" s="363"/>
      <c r="M12" s="145"/>
      <c r="N12" s="64"/>
      <c r="O12" s="240" t="s">
        <v>578</v>
      </c>
      <c r="P12" s="145">
        <f>P10</f>
        <v>200</v>
      </c>
      <c r="Q12" s="145" t="s">
        <v>541</v>
      </c>
    </row>
    <row r="13" spans="1:17" s="228" customFormat="1" ht="20.100000000000001" customHeight="1">
      <c r="A13" s="24" t="s">
        <v>200</v>
      </c>
      <c r="B13" s="237">
        <v>20</v>
      </c>
      <c r="C13" s="282">
        <v>13</v>
      </c>
      <c r="D13" s="282">
        <v>13</v>
      </c>
      <c r="E13" s="237">
        <v>13</v>
      </c>
      <c r="F13" s="328">
        <f>E13/D13*100</f>
        <v>100</v>
      </c>
      <c r="G13" s="328"/>
      <c r="H13" s="362"/>
      <c r="I13" s="363"/>
      <c r="M13" s="145"/>
      <c r="N13" s="64"/>
      <c r="O13" s="240" t="s">
        <v>579</v>
      </c>
      <c r="P13" s="145">
        <f>61.9*2</f>
        <v>123.8</v>
      </c>
      <c r="Q13" s="145" t="s">
        <v>542</v>
      </c>
    </row>
    <row r="14" spans="1:17" s="228" customFormat="1" ht="20.100000000000001" customHeight="1">
      <c r="A14" s="24" t="s">
        <v>201</v>
      </c>
      <c r="B14" s="237">
        <v>45</v>
      </c>
      <c r="C14" s="282">
        <v>45</v>
      </c>
      <c r="D14" s="78">
        <f>D9-D10-D11-D12-D13</f>
        <v>45</v>
      </c>
      <c r="E14" s="78">
        <v>43</v>
      </c>
      <c r="F14" s="328">
        <f>E14/D14*100</f>
        <v>95.555555555555557</v>
      </c>
      <c r="G14" s="328"/>
      <c r="H14" s="364"/>
      <c r="I14" s="365"/>
      <c r="M14" s="145"/>
      <c r="N14" s="64"/>
      <c r="O14" s="240" t="s">
        <v>580</v>
      </c>
      <c r="P14" s="145">
        <f>61.9*2</f>
        <v>123.8</v>
      </c>
      <c r="Q14" s="145"/>
    </row>
    <row r="15" spans="1:17" s="228" customFormat="1" ht="20.100000000000001" customHeight="1">
      <c r="A15" s="24" t="s">
        <v>202</v>
      </c>
      <c r="B15" s="237">
        <v>0</v>
      </c>
      <c r="C15" s="282">
        <v>0</v>
      </c>
      <c r="D15" s="282">
        <v>0</v>
      </c>
      <c r="E15" s="237">
        <v>0</v>
      </c>
      <c r="F15" s="350">
        <v>0</v>
      </c>
      <c r="G15" s="350"/>
      <c r="H15" s="347"/>
      <c r="I15" s="323"/>
      <c r="M15" s="145"/>
      <c r="N15" s="64"/>
      <c r="O15" s="240" t="s">
        <v>581</v>
      </c>
      <c r="P15" s="145">
        <f>P14/2</f>
        <v>61.9</v>
      </c>
      <c r="Q15" s="145"/>
    </row>
    <row r="16" spans="1:17" s="228" customFormat="1" ht="20.100000000000001" customHeight="1">
      <c r="A16" s="63" t="s">
        <v>188</v>
      </c>
      <c r="B16" s="108">
        <v>9868</v>
      </c>
      <c r="C16" s="159">
        <v>14584.8</v>
      </c>
      <c r="D16" s="109">
        <f>'1.Фінансовий результат'!E143</f>
        <v>14584.8</v>
      </c>
      <c r="E16" s="108">
        <f>'1.Фінансовий результат'!F143</f>
        <v>14821.6</v>
      </c>
      <c r="F16" s="328">
        <f>E16/D16*100</f>
        <v>101.62360813998134</v>
      </c>
      <c r="G16" s="328"/>
      <c r="H16" s="347"/>
      <c r="I16" s="323"/>
      <c r="M16" s="145"/>
      <c r="N16" s="64"/>
      <c r="O16" s="240" t="s">
        <v>582</v>
      </c>
      <c r="P16" s="145">
        <f>56.6*2</f>
        <v>113.2</v>
      </c>
      <c r="Q16" s="145"/>
    </row>
    <row r="17" spans="1:17" s="228" customFormat="1" ht="20.100000000000001" customHeight="1">
      <c r="A17" s="24" t="s">
        <v>179</v>
      </c>
      <c r="B17" s="160">
        <v>422</v>
      </c>
      <c r="C17" s="110">
        <v>530</v>
      </c>
      <c r="D17" s="265">
        <v>530</v>
      </c>
      <c r="E17" s="78">
        <v>720</v>
      </c>
      <c r="F17" s="328">
        <f>E17/D17*100</f>
        <v>135.84905660377359</v>
      </c>
      <c r="G17" s="328"/>
      <c r="H17" s="356"/>
      <c r="I17" s="357"/>
      <c r="M17" s="145"/>
      <c r="N17" s="64"/>
      <c r="O17" s="240" t="s">
        <v>583</v>
      </c>
      <c r="P17" s="145">
        <f>62.6*2</f>
        <v>125.2</v>
      </c>
      <c r="Q17" s="145"/>
    </row>
    <row r="18" spans="1:17" s="228" customFormat="1" ht="20.100000000000001" customHeight="1">
      <c r="A18" s="24" t="s">
        <v>189</v>
      </c>
      <c r="B18" s="160">
        <v>1159</v>
      </c>
      <c r="C18" s="110">
        <v>1615</v>
      </c>
      <c r="D18" s="265">
        <f>1615</f>
        <v>1615</v>
      </c>
      <c r="E18" s="78">
        <v>1850</v>
      </c>
      <c r="F18" s="328">
        <f>E18/D18*100</f>
        <v>114.55108359133126</v>
      </c>
      <c r="G18" s="328"/>
      <c r="H18" s="356"/>
      <c r="I18" s="357"/>
      <c r="M18" s="145"/>
      <c r="N18" s="64"/>
      <c r="O18" s="240" t="s">
        <v>584</v>
      </c>
      <c r="P18" s="145">
        <f>47.4*2</f>
        <v>94.8</v>
      </c>
      <c r="Q18" s="145"/>
    </row>
    <row r="19" spans="1:17" s="228" customFormat="1" ht="20.100000000000001" customHeight="1">
      <c r="A19" s="24" t="s">
        <v>180</v>
      </c>
      <c r="B19" s="160">
        <v>8287</v>
      </c>
      <c r="C19" s="110">
        <v>12439.8</v>
      </c>
      <c r="D19" s="111">
        <f>D16-D17-D18</f>
        <v>12439.8</v>
      </c>
      <c r="E19" s="78">
        <f>E16-E17-E18</f>
        <v>12251.6</v>
      </c>
      <c r="F19" s="328">
        <f>E19/D19*100</f>
        <v>98.487113940738595</v>
      </c>
      <c r="G19" s="328"/>
      <c r="H19" s="356"/>
      <c r="I19" s="357"/>
      <c r="M19" s="145"/>
      <c r="N19" s="64"/>
      <c r="O19" s="240" t="s">
        <v>585</v>
      </c>
      <c r="P19" s="26">
        <f>39.1*2</f>
        <v>78.2</v>
      </c>
      <c r="Q19" s="145"/>
    </row>
    <row r="20" spans="1:17" s="228" customFormat="1" ht="31.5">
      <c r="A20" s="63" t="s">
        <v>502</v>
      </c>
      <c r="B20" s="108">
        <v>11825</v>
      </c>
      <c r="C20" s="108">
        <v>17622.8</v>
      </c>
      <c r="D20" s="112">
        <f>'1.Фінансовий результат'!E143+'1.Фінансовий результат'!E144</f>
        <v>17622.8</v>
      </c>
      <c r="E20" s="108">
        <f>'1.Фінансовий результат'!F143+'1.Фінансовий результат'!F144</f>
        <v>18077.599999999999</v>
      </c>
      <c r="F20" s="328">
        <f>E20/D20*100</f>
        <v>102.58074766779399</v>
      </c>
      <c r="G20" s="328"/>
      <c r="H20" s="347"/>
      <c r="I20" s="323"/>
      <c r="M20" s="145"/>
      <c r="N20" s="64"/>
      <c r="O20" s="240" t="s">
        <v>586</v>
      </c>
      <c r="P20" s="26">
        <f>40.9*2</f>
        <v>81.8</v>
      </c>
      <c r="Q20" s="145"/>
    </row>
    <row r="21" spans="1:17" s="228" customFormat="1" ht="20.100000000000001" customHeight="1">
      <c r="A21" s="24" t="s">
        <v>179</v>
      </c>
      <c r="B21" s="160">
        <v>514.84</v>
      </c>
      <c r="C21" s="110">
        <v>646.6</v>
      </c>
      <c r="D21" s="111">
        <f>D17*1.22</f>
        <v>646.6</v>
      </c>
      <c r="E21" s="78">
        <f>E17*1.22</f>
        <v>878.4</v>
      </c>
      <c r="F21" s="328">
        <f t="shared" ref="F21:F31" si="0">E21/D21*100</f>
        <v>135.84905660377359</v>
      </c>
      <c r="G21" s="328"/>
      <c r="H21" s="347"/>
      <c r="I21" s="323"/>
      <c r="M21" s="145"/>
      <c r="N21" s="64"/>
      <c r="O21" s="240" t="s">
        <v>587</v>
      </c>
      <c r="P21" s="26">
        <f>47*2</f>
        <v>94</v>
      </c>
      <c r="Q21" s="145"/>
    </row>
    <row r="22" spans="1:17" s="228" customFormat="1" ht="20.100000000000001" customHeight="1">
      <c r="A22" s="24" t="s">
        <v>189</v>
      </c>
      <c r="B22" s="160">
        <v>1413.98</v>
      </c>
      <c r="C22" s="110">
        <v>1970.3</v>
      </c>
      <c r="D22" s="111">
        <f>D18*1.22</f>
        <v>1970.3</v>
      </c>
      <c r="E22" s="78">
        <f>E18*1.22</f>
        <v>2257</v>
      </c>
      <c r="F22" s="328">
        <f t="shared" si="0"/>
        <v>114.55108359133128</v>
      </c>
      <c r="G22" s="328"/>
      <c r="H22" s="347"/>
      <c r="I22" s="323"/>
      <c r="M22" s="145"/>
      <c r="N22" s="64"/>
      <c r="O22" s="240" t="s">
        <v>588</v>
      </c>
      <c r="P22" s="26">
        <v>140</v>
      </c>
      <c r="Q22" s="145"/>
    </row>
    <row r="23" spans="1:17" s="228" customFormat="1" ht="20.100000000000001" customHeight="1">
      <c r="A23" s="24" t="s">
        <v>180</v>
      </c>
      <c r="B23" s="161">
        <v>9896.18</v>
      </c>
      <c r="C23" s="110">
        <v>15005.900000000001</v>
      </c>
      <c r="D23" s="110">
        <f>D20-D21-D22</f>
        <v>15005.900000000001</v>
      </c>
      <c r="E23" s="78">
        <f>E20-E21-E22</f>
        <v>14942.199999999997</v>
      </c>
      <c r="F23" s="328">
        <f t="shared" si="0"/>
        <v>99.575500303214042</v>
      </c>
      <c r="G23" s="328"/>
      <c r="H23" s="347"/>
      <c r="I23" s="323"/>
      <c r="M23" s="145"/>
      <c r="N23" s="64"/>
      <c r="O23" s="240" t="s">
        <v>589</v>
      </c>
      <c r="P23" s="26">
        <v>78</v>
      </c>
      <c r="Q23" s="145"/>
    </row>
    <row r="24" spans="1:17" s="228" customFormat="1" ht="31.5">
      <c r="A24" s="63" t="s">
        <v>503</v>
      </c>
      <c r="B24" s="108">
        <v>9674.5098039215682</v>
      </c>
      <c r="C24" s="109">
        <v>15192.5</v>
      </c>
      <c r="D24" s="109">
        <f>D16/D9/12*1000</f>
        <v>15192.5</v>
      </c>
      <c r="E24" s="113">
        <f>E16/E9/12*1000</f>
        <v>15062.60162601626</v>
      </c>
      <c r="F24" s="328">
        <f t="shared" si="0"/>
        <v>99.144983551201321</v>
      </c>
      <c r="G24" s="328"/>
      <c r="H24" s="347"/>
      <c r="I24" s="323"/>
      <c r="J24" s="240"/>
      <c r="K24" s="26"/>
      <c r="L24" s="145"/>
      <c r="M24" s="145"/>
      <c r="N24" s="64"/>
      <c r="O24" s="64"/>
    </row>
    <row r="25" spans="1:17" s="228" customFormat="1">
      <c r="A25" s="24" t="s">
        <v>179</v>
      </c>
      <c r="B25" s="160">
        <v>35166.666666666664</v>
      </c>
      <c r="C25" s="111">
        <v>44166.666666666664</v>
      </c>
      <c r="D25" s="111">
        <f>D17*1000/12</f>
        <v>44166.666666666664</v>
      </c>
      <c r="E25" s="114">
        <f>E17/12*1000</f>
        <v>60000</v>
      </c>
      <c r="F25" s="328">
        <f t="shared" si="0"/>
        <v>135.84905660377359</v>
      </c>
      <c r="G25" s="328"/>
      <c r="H25" s="347"/>
      <c r="I25" s="323"/>
      <c r="J25" s="240"/>
      <c r="K25" s="26"/>
      <c r="L25" s="145"/>
      <c r="M25" s="145"/>
      <c r="N25" s="64"/>
      <c r="O25" s="64"/>
    </row>
    <row r="26" spans="1:17" s="228" customFormat="1" ht="20.100000000000001" customHeight="1">
      <c r="A26" s="24" t="s">
        <v>189</v>
      </c>
      <c r="B26" s="160">
        <v>12072.916666666666</v>
      </c>
      <c r="C26" s="111">
        <v>19226.190476190477</v>
      </c>
      <c r="D26" s="111">
        <f>D18/7/12*1000</f>
        <v>19226.190476190477</v>
      </c>
      <c r="E26" s="114">
        <f>E18/12/11*1000</f>
        <v>14015.151515151514</v>
      </c>
      <c r="F26" s="328">
        <f t="shared" si="0"/>
        <v>72.896144103574429</v>
      </c>
      <c r="G26" s="328"/>
      <c r="H26" s="347"/>
      <c r="I26" s="323"/>
      <c r="J26" s="240"/>
      <c r="K26" s="26"/>
      <c r="L26" s="145"/>
      <c r="M26" s="145"/>
      <c r="N26" s="64"/>
      <c r="O26" s="64"/>
    </row>
    <row r="27" spans="1:17" s="228" customFormat="1" ht="20.100000000000001" customHeight="1">
      <c r="A27" s="24" t="s">
        <v>180</v>
      </c>
      <c r="B27" s="160">
        <v>9086.6228070175439</v>
      </c>
      <c r="C27" s="111">
        <v>14397.916666666666</v>
      </c>
      <c r="D27" s="111">
        <f>D19/12/72*1000</f>
        <v>14397.916666666666</v>
      </c>
      <c r="E27" s="114">
        <f>E19/12/70*1000</f>
        <v>14585.238095238095</v>
      </c>
      <c r="F27" s="328">
        <f t="shared" si="0"/>
        <v>101.30103148190257</v>
      </c>
      <c r="G27" s="328"/>
      <c r="H27" s="347"/>
      <c r="I27" s="323"/>
      <c r="J27" s="240"/>
      <c r="K27" s="26"/>
      <c r="L27" s="145"/>
      <c r="M27" s="145"/>
      <c r="N27" s="64"/>
      <c r="O27" s="64"/>
    </row>
    <row r="28" spans="1:17" s="228" customFormat="1" ht="31.5">
      <c r="A28" s="63" t="s">
        <v>504</v>
      </c>
      <c r="B28" s="113">
        <v>7691.2352941176468</v>
      </c>
      <c r="C28" s="113">
        <v>12078.037499999999</v>
      </c>
      <c r="D28" s="113">
        <f>(D16/12/D9*1000)*0.795</f>
        <v>12078.037499999999</v>
      </c>
      <c r="E28" s="113">
        <f>(E16/12/E9*1000)*0.795</f>
        <v>11974.768292682929</v>
      </c>
      <c r="F28" s="328">
        <f t="shared" si="0"/>
        <v>99.144983551201349</v>
      </c>
      <c r="G28" s="328"/>
      <c r="H28" s="347"/>
      <c r="I28" s="323"/>
      <c r="J28" s="240"/>
      <c r="K28" s="26"/>
      <c r="L28" s="145"/>
      <c r="M28" s="145"/>
      <c r="N28" s="64"/>
      <c r="O28" s="64"/>
    </row>
    <row r="29" spans="1:17" s="228" customFormat="1" ht="20.100000000000001" customHeight="1">
      <c r="A29" s="24" t="s">
        <v>179</v>
      </c>
      <c r="B29" s="114">
        <v>27957.5</v>
      </c>
      <c r="C29" s="114">
        <v>35112.5</v>
      </c>
      <c r="D29" s="114">
        <f>(D17/12*1000)*0.795</f>
        <v>35112.5</v>
      </c>
      <c r="E29" s="114">
        <f>(E17/12*1000)*0.795</f>
        <v>47700</v>
      </c>
      <c r="F29" s="328">
        <f t="shared" si="0"/>
        <v>135.84905660377359</v>
      </c>
      <c r="G29" s="328"/>
      <c r="H29" s="347"/>
      <c r="I29" s="323"/>
      <c r="J29" s="240"/>
      <c r="K29" s="26"/>
      <c r="L29" s="145"/>
      <c r="M29" s="145"/>
      <c r="N29" s="64"/>
      <c r="O29" s="64"/>
    </row>
    <row r="30" spans="1:17" s="228" customFormat="1" ht="20.100000000000001" customHeight="1">
      <c r="A30" s="24" t="s">
        <v>189</v>
      </c>
      <c r="B30" s="114">
        <v>9597.96875</v>
      </c>
      <c r="C30" s="114">
        <v>15284.821428571429</v>
      </c>
      <c r="D30" s="114">
        <f>(D18/12/7*1000)*0.795</f>
        <v>15284.821428571429</v>
      </c>
      <c r="E30" s="114">
        <f>(E18/12/7*1000)*0.795</f>
        <v>17508.928571428572</v>
      </c>
      <c r="F30" s="328">
        <f t="shared" si="0"/>
        <v>114.55108359133126</v>
      </c>
      <c r="G30" s="328"/>
      <c r="H30" s="347"/>
      <c r="I30" s="323"/>
      <c r="J30" s="240"/>
      <c r="K30" s="26"/>
      <c r="L30" s="145"/>
      <c r="M30" s="145"/>
      <c r="N30" s="64"/>
      <c r="O30" s="64"/>
    </row>
    <row r="31" spans="1:17" s="228" customFormat="1" ht="20.100000000000001" customHeight="1">
      <c r="A31" s="24" t="s">
        <v>180</v>
      </c>
      <c r="B31" s="114">
        <v>7223.8651315789475</v>
      </c>
      <c r="C31" s="114">
        <v>11446.34375</v>
      </c>
      <c r="D31" s="114">
        <f>(D19/12/72*1000)*0.795</f>
        <v>11446.34375</v>
      </c>
      <c r="E31" s="114">
        <f>(E19/12/70*1000)*0.795</f>
        <v>11595.264285714287</v>
      </c>
      <c r="F31" s="328">
        <f t="shared" si="0"/>
        <v>101.30103148190257</v>
      </c>
      <c r="G31" s="328"/>
      <c r="H31" s="347"/>
      <c r="I31" s="323"/>
      <c r="J31" s="240"/>
      <c r="K31" s="26"/>
      <c r="L31" s="145"/>
      <c r="M31" s="145"/>
      <c r="N31" s="64"/>
      <c r="O31" s="64"/>
    </row>
    <row r="32" spans="1:17" ht="16.5" customHeight="1">
      <c r="A32" s="65"/>
      <c r="B32" s="65"/>
      <c r="C32" s="65"/>
      <c r="D32" s="65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49" customFormat="1" ht="19.5" customHeight="1">
      <c r="A33" s="38" t="s">
        <v>631</v>
      </c>
      <c r="B33" s="1"/>
      <c r="C33" s="299" t="s">
        <v>81</v>
      </c>
      <c r="D33" s="299"/>
      <c r="E33" s="299"/>
      <c r="F33" s="300"/>
      <c r="G33" s="158" t="s">
        <v>626</v>
      </c>
      <c r="H33" s="301"/>
      <c r="I33" s="301"/>
      <c r="J33" s="301"/>
    </row>
    <row r="34" spans="1:15" ht="15.75" customHeight="1">
      <c r="A34" s="67" t="s">
        <v>59</v>
      </c>
      <c r="B34" s="228"/>
      <c r="C34" s="283"/>
      <c r="D34" s="283"/>
      <c r="E34" s="230"/>
      <c r="G34" s="230" t="s">
        <v>78</v>
      </c>
      <c r="I34" s="228"/>
      <c r="J34" s="228"/>
    </row>
    <row r="35" spans="1:15" ht="21.95" customHeight="1">
      <c r="A35" s="238" t="s">
        <v>260</v>
      </c>
      <c r="B35" s="238"/>
      <c r="C35" s="284"/>
      <c r="D35" s="284"/>
      <c r="E35" s="238"/>
      <c r="F35" s="68"/>
      <c r="G35" s="68"/>
      <c r="H35" s="238"/>
      <c r="I35" s="238"/>
      <c r="J35" s="238"/>
    </row>
    <row r="36" spans="1:15" ht="20.100000000000001" customHeight="1"/>
    <row r="37" spans="1:15" ht="39" customHeight="1">
      <c r="A37" s="349" t="s">
        <v>181</v>
      </c>
      <c r="B37" s="349" t="s">
        <v>590</v>
      </c>
      <c r="C37" s="349"/>
      <c r="D37" s="349" t="s">
        <v>664</v>
      </c>
      <c r="E37" s="349"/>
      <c r="F37" s="349" t="s">
        <v>597</v>
      </c>
      <c r="G37" s="349"/>
      <c r="H37" s="349" t="s">
        <v>665</v>
      </c>
      <c r="I37" s="349"/>
      <c r="J37" s="349" t="s">
        <v>666</v>
      </c>
      <c r="K37" s="349"/>
      <c r="L37" s="232"/>
      <c r="M37" s="232"/>
      <c r="N37" s="232"/>
      <c r="O37" s="232"/>
    </row>
    <row r="38" spans="1:15" ht="123" customHeight="1">
      <c r="A38" s="349"/>
      <c r="B38" s="237" t="s">
        <v>591</v>
      </c>
      <c r="C38" s="282" t="s">
        <v>592</v>
      </c>
      <c r="D38" s="282" t="s">
        <v>518</v>
      </c>
      <c r="E38" s="237" t="s">
        <v>493</v>
      </c>
      <c r="F38" s="237" t="s">
        <v>518</v>
      </c>
      <c r="G38" s="237" t="s">
        <v>203</v>
      </c>
      <c r="H38" s="237" t="s">
        <v>518</v>
      </c>
      <c r="I38" s="237" t="s">
        <v>203</v>
      </c>
      <c r="J38" s="237" t="s">
        <v>518</v>
      </c>
      <c r="K38" s="237" t="s">
        <v>203</v>
      </c>
      <c r="L38" s="232"/>
      <c r="M38" s="232"/>
      <c r="N38" s="232"/>
    </row>
    <row r="39" spans="1:15" ht="18" customHeight="1">
      <c r="A39" s="237">
        <v>1</v>
      </c>
      <c r="B39" s="237">
        <v>2</v>
      </c>
      <c r="C39" s="282">
        <v>3</v>
      </c>
      <c r="D39" s="282">
        <v>5</v>
      </c>
      <c r="E39" s="237">
        <v>6</v>
      </c>
      <c r="F39" s="237">
        <v>7</v>
      </c>
      <c r="G39" s="237">
        <v>8</v>
      </c>
      <c r="H39" s="237">
        <v>9</v>
      </c>
      <c r="I39" s="237">
        <v>10</v>
      </c>
      <c r="J39" s="235">
        <v>11</v>
      </c>
      <c r="K39" s="235">
        <v>12</v>
      </c>
      <c r="L39" s="230"/>
      <c r="M39" s="230"/>
      <c r="N39" s="230"/>
    </row>
    <row r="40" spans="1:15" ht="20.100000000000001" customHeight="1">
      <c r="A40" s="24" t="s">
        <v>391</v>
      </c>
      <c r="B40" s="58">
        <f>H40/$H$44*100</f>
        <v>77.147922341851512</v>
      </c>
      <c r="C40" s="58">
        <f>J40/$J$44*100</f>
        <v>64.28994731878943</v>
      </c>
      <c r="D40" s="58">
        <f>'1.Фінансовий результат'!C15</f>
        <v>42656.9</v>
      </c>
      <c r="E40" s="59">
        <v>478000</v>
      </c>
      <c r="F40" s="58">
        <v>53526</v>
      </c>
      <c r="G40" s="58">
        <v>634000</v>
      </c>
      <c r="H40" s="58">
        <f>'1.Фінансовий результат'!E15</f>
        <v>53526</v>
      </c>
      <c r="I40" s="288">
        <v>634000</v>
      </c>
      <c r="J40" s="241">
        <f>'1.Фінансовий результат'!F15</f>
        <v>49468.44</v>
      </c>
      <c r="K40" s="289">
        <v>605000</v>
      </c>
      <c r="L40" s="26"/>
      <c r="M40" s="26"/>
      <c r="N40" s="26"/>
    </row>
    <row r="41" spans="1:15" ht="20.100000000000001" customHeight="1">
      <c r="A41" s="24" t="s">
        <v>594</v>
      </c>
      <c r="B41" s="58">
        <f>H41/$H$44*100</f>
        <v>20.557501333218028</v>
      </c>
      <c r="C41" s="58">
        <f>J41/$J$44*100</f>
        <v>32.105699281468631</v>
      </c>
      <c r="D41" s="58">
        <f>'1.Фінансовий результат'!C16</f>
        <v>563</v>
      </c>
      <c r="E41" s="59">
        <v>594505</v>
      </c>
      <c r="F41" s="58">
        <v>14263</v>
      </c>
      <c r="G41" s="58">
        <v>704000</v>
      </c>
      <c r="H41" s="58">
        <f>'1.Фінансовий результат'!E16</f>
        <v>14263</v>
      </c>
      <c r="I41" s="288">
        <v>704000</v>
      </c>
      <c r="J41" s="241">
        <f>'1.Фінансовий результат'!F16</f>
        <v>24704</v>
      </c>
      <c r="K41" s="289">
        <v>702000</v>
      </c>
      <c r="L41" s="26"/>
      <c r="M41" s="26"/>
      <c r="N41" s="26"/>
    </row>
    <row r="42" spans="1:15" ht="20.100000000000001" customHeight="1">
      <c r="A42" s="24" t="s">
        <v>392</v>
      </c>
      <c r="B42" s="58">
        <f>H42/$H$44*100</f>
        <v>1.006327380695003</v>
      </c>
      <c r="C42" s="58">
        <f>J42/$J$44*100</f>
        <v>0.85774617575167156</v>
      </c>
      <c r="D42" s="58">
        <f>'1.Фінансовий результат'!C17</f>
        <v>585</v>
      </c>
      <c r="E42" s="59">
        <v>8436</v>
      </c>
      <c r="F42" s="58">
        <v>698.2</v>
      </c>
      <c r="G42" s="58">
        <v>6850</v>
      </c>
      <c r="H42" s="58">
        <f>'1.Фінансовий результат'!E17</f>
        <v>698.2</v>
      </c>
      <c r="I42" s="288">
        <v>6850</v>
      </c>
      <c r="J42" s="241">
        <f>'1.Фінансовий результат'!F17</f>
        <v>660</v>
      </c>
      <c r="K42" s="289">
        <v>6080</v>
      </c>
      <c r="L42" s="26"/>
      <c r="M42" s="26"/>
      <c r="N42" s="26"/>
    </row>
    <row r="43" spans="1:15" ht="31.5">
      <c r="A43" s="24" t="s">
        <v>494</v>
      </c>
      <c r="B43" s="58">
        <f>H43/$H$44*100</f>
        <v>1.2882489442354534</v>
      </c>
      <c r="C43" s="58">
        <f>J43/$J$44*100</f>
        <v>2.746607223990277</v>
      </c>
      <c r="D43" s="58">
        <f>'1.Фінансовий результат'!C18</f>
        <v>686.1</v>
      </c>
      <c r="E43" s="59">
        <v>190</v>
      </c>
      <c r="F43" s="58">
        <v>893.8</v>
      </c>
      <c r="G43" s="58" t="s">
        <v>667</v>
      </c>
      <c r="H43" s="58">
        <f>'1.Фінансовий результат'!E18</f>
        <v>893.8</v>
      </c>
      <c r="I43" s="288" t="s">
        <v>667</v>
      </c>
      <c r="J43" s="241">
        <f>'1.Фінансовий результат'!F18</f>
        <v>2113.4</v>
      </c>
      <c r="K43" s="289" t="s">
        <v>668</v>
      </c>
      <c r="L43" s="26"/>
      <c r="M43" s="26"/>
      <c r="N43" s="26"/>
    </row>
    <row r="44" spans="1:15" ht="20.100000000000001" customHeight="1">
      <c r="A44" s="24" t="s">
        <v>39</v>
      </c>
      <c r="B44" s="58">
        <v>100</v>
      </c>
      <c r="C44" s="58">
        <f>F44/$F$44*100</f>
        <v>100</v>
      </c>
      <c r="D44" s="58">
        <f>SUM(D40:D43)</f>
        <v>44491</v>
      </c>
      <c r="E44" s="59"/>
      <c r="F44" s="58">
        <f>SUM(F40:F43)</f>
        <v>69381</v>
      </c>
      <c r="G44" s="60"/>
      <c r="H44" s="58">
        <f>SUM(H40:H43)</f>
        <v>69381</v>
      </c>
      <c r="I44" s="288"/>
      <c r="J44" s="281">
        <f>'1.Фінансовий результат'!F14</f>
        <v>76945.84</v>
      </c>
      <c r="K44" s="290"/>
      <c r="L44" s="70"/>
      <c r="M44" s="70"/>
      <c r="N44" s="70"/>
    </row>
    <row r="45" spans="1:15" ht="20.100000000000001" customHeight="1">
      <c r="A45" s="71"/>
      <c r="B45" s="72"/>
      <c r="C45" s="72"/>
      <c r="D45" s="72"/>
      <c r="E45" s="72"/>
      <c r="F45" s="73"/>
      <c r="G45" s="72"/>
      <c r="H45" s="74"/>
      <c r="I45" s="74"/>
      <c r="J45" s="75"/>
      <c r="K45" s="70"/>
      <c r="L45" s="70"/>
      <c r="M45" s="70"/>
      <c r="N45" s="70"/>
      <c r="O45" s="70"/>
    </row>
    <row r="46" spans="1:15" s="228" customFormat="1" ht="19.5" customHeight="1">
      <c r="A46" s="38" t="s">
        <v>631</v>
      </c>
      <c r="B46" s="1"/>
      <c r="C46" s="299" t="s">
        <v>81</v>
      </c>
      <c r="D46" s="299"/>
      <c r="E46" s="299"/>
      <c r="F46" s="300"/>
      <c r="G46" s="158" t="s">
        <v>626</v>
      </c>
      <c r="H46" s="301"/>
      <c r="I46" s="301"/>
      <c r="J46" s="301"/>
    </row>
    <row r="47" spans="1:15" ht="15.75" customHeight="1">
      <c r="A47" s="67" t="s">
        <v>59</v>
      </c>
      <c r="B47" s="228"/>
      <c r="C47" s="283"/>
      <c r="D47" s="283"/>
      <c r="E47" s="230"/>
      <c r="G47" s="230" t="s">
        <v>675</v>
      </c>
      <c r="I47" s="228"/>
      <c r="J47" s="228"/>
    </row>
    <row r="48" spans="1:15" ht="20.100000000000001" customHeight="1">
      <c r="A48" s="71"/>
      <c r="B48" s="72"/>
      <c r="C48" s="72"/>
      <c r="D48" s="72"/>
      <c r="E48" s="72"/>
      <c r="F48" s="73"/>
      <c r="G48" s="72"/>
      <c r="H48" s="74"/>
      <c r="I48" s="74"/>
      <c r="J48" s="75"/>
      <c r="K48" s="70"/>
      <c r="L48" s="70"/>
      <c r="M48" s="70"/>
      <c r="N48" s="70"/>
      <c r="O48" s="70"/>
    </row>
    <row r="49" spans="1:15" ht="21.95" customHeight="1">
      <c r="A49" s="236" t="s">
        <v>218</v>
      </c>
      <c r="B49" s="236"/>
      <c r="C49" s="285"/>
      <c r="D49" s="28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</row>
    <row r="50" spans="1:15" ht="20.100000000000001" customHeight="1"/>
    <row r="51" spans="1:15" ht="81.75" customHeight="1">
      <c r="A51" s="237" t="s">
        <v>95</v>
      </c>
      <c r="B51" s="321" t="s">
        <v>53</v>
      </c>
      <c r="C51" s="326"/>
      <c r="D51" s="323"/>
      <c r="E51" s="237" t="s">
        <v>221</v>
      </c>
      <c r="F51" s="237" t="s">
        <v>50</v>
      </c>
      <c r="G51" s="237" t="s">
        <v>204</v>
      </c>
      <c r="H51" s="237" t="s">
        <v>66</v>
      </c>
      <c r="I51" s="321" t="s">
        <v>18</v>
      </c>
      <c r="J51" s="323"/>
      <c r="K51" s="232"/>
      <c r="L51" s="232"/>
      <c r="M51" s="232"/>
      <c r="N51" s="232"/>
      <c r="O51" s="232"/>
    </row>
    <row r="52" spans="1:15" ht="18" customHeight="1">
      <c r="A52" s="235">
        <v>1</v>
      </c>
      <c r="B52" s="321">
        <v>2</v>
      </c>
      <c r="C52" s="326"/>
      <c r="D52" s="323"/>
      <c r="E52" s="235">
        <v>3</v>
      </c>
      <c r="F52" s="235">
        <v>4</v>
      </c>
      <c r="G52" s="235">
        <v>5</v>
      </c>
      <c r="H52" s="76">
        <v>6</v>
      </c>
      <c r="I52" s="321">
        <v>7</v>
      </c>
      <c r="J52" s="323"/>
      <c r="K52" s="230"/>
      <c r="L52" s="230"/>
      <c r="M52" s="230"/>
      <c r="N52" s="230"/>
      <c r="O52" s="230"/>
    </row>
    <row r="53" spans="1:15" ht="20.100000000000001" customHeight="1">
      <c r="A53" s="24"/>
      <c r="B53" s="347"/>
      <c r="C53" s="348"/>
      <c r="D53" s="323"/>
      <c r="E53" s="242"/>
      <c r="F53" s="242"/>
      <c r="G53" s="242"/>
      <c r="H53" s="241"/>
      <c r="I53" s="321"/>
      <c r="J53" s="323"/>
      <c r="K53" s="26"/>
      <c r="L53" s="26"/>
      <c r="M53" s="26"/>
      <c r="N53" s="26"/>
      <c r="O53" s="26"/>
    </row>
    <row r="54" spans="1:15" ht="20.100000000000001" customHeight="1">
      <c r="A54" s="24" t="s">
        <v>39</v>
      </c>
      <c r="B54" s="321" t="s">
        <v>19</v>
      </c>
      <c r="C54" s="326"/>
      <c r="D54" s="323"/>
      <c r="E54" s="237"/>
      <c r="F54" s="237" t="s">
        <v>19</v>
      </c>
      <c r="G54" s="237" t="s">
        <v>19</v>
      </c>
      <c r="H54" s="237"/>
      <c r="I54" s="321" t="s">
        <v>19</v>
      </c>
      <c r="J54" s="323"/>
      <c r="K54" s="26"/>
      <c r="L54" s="26"/>
      <c r="M54" s="26"/>
      <c r="N54" s="26"/>
      <c r="O54" s="26"/>
    </row>
    <row r="55" spans="1:15" ht="20.100000000000001" customHeight="1">
      <c r="A55" s="77"/>
      <c r="B55" s="230"/>
      <c r="C55" s="283"/>
      <c r="D55" s="283"/>
      <c r="E55" s="230"/>
      <c r="F55" s="230"/>
      <c r="G55" s="230"/>
      <c r="H55" s="230"/>
      <c r="I55" s="230"/>
      <c r="J55" s="230"/>
      <c r="K55" s="228"/>
      <c r="L55" s="228"/>
      <c r="M55" s="228"/>
      <c r="N55" s="228"/>
      <c r="O55" s="228"/>
    </row>
    <row r="56" spans="1:15" ht="21.95" customHeight="1">
      <c r="A56" s="236" t="s">
        <v>219</v>
      </c>
      <c r="B56" s="236"/>
      <c r="C56" s="285"/>
      <c r="D56" s="285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</row>
    <row r="57" spans="1:15" ht="20.100000000000001" customHeight="1">
      <c r="A57" s="236"/>
      <c r="B57" s="236"/>
      <c r="C57" s="285"/>
      <c r="D57" s="285"/>
      <c r="E57" s="236"/>
      <c r="F57" s="236"/>
      <c r="G57" s="236"/>
      <c r="H57" s="236"/>
      <c r="I57" s="236"/>
    </row>
    <row r="58" spans="1:15" ht="82.5" customHeight="1">
      <c r="A58" s="237" t="s">
        <v>49</v>
      </c>
      <c r="B58" s="321" t="s">
        <v>670</v>
      </c>
      <c r="C58" s="326"/>
      <c r="D58" s="323"/>
      <c r="E58" s="237" t="s">
        <v>495</v>
      </c>
      <c r="F58" s="321" t="s">
        <v>496</v>
      </c>
      <c r="G58" s="323"/>
      <c r="H58" s="321" t="s">
        <v>669</v>
      </c>
      <c r="I58" s="326"/>
      <c r="J58" s="323"/>
      <c r="K58" s="232"/>
      <c r="L58" s="232"/>
      <c r="M58" s="232"/>
      <c r="N58" s="232"/>
      <c r="O58" s="232"/>
    </row>
    <row r="59" spans="1:15" ht="18" customHeight="1">
      <c r="A59" s="237">
        <v>1</v>
      </c>
      <c r="B59" s="321">
        <v>2</v>
      </c>
      <c r="C59" s="326"/>
      <c r="D59" s="323"/>
      <c r="E59" s="237">
        <v>3</v>
      </c>
      <c r="F59" s="321">
        <v>4</v>
      </c>
      <c r="G59" s="323"/>
      <c r="H59" s="321">
        <v>5</v>
      </c>
      <c r="I59" s="326"/>
      <c r="J59" s="323"/>
      <c r="K59" s="230"/>
      <c r="L59" s="230"/>
      <c r="M59" s="230"/>
      <c r="N59" s="230"/>
      <c r="O59" s="230"/>
    </row>
    <row r="60" spans="1:15" ht="20.100000000000001" customHeight="1">
      <c r="A60" s="24" t="s">
        <v>205</v>
      </c>
      <c r="B60" s="331">
        <v>0</v>
      </c>
      <c r="C60" s="332"/>
      <c r="D60" s="333"/>
      <c r="E60" s="78">
        <v>0</v>
      </c>
      <c r="F60" s="329">
        <v>0</v>
      </c>
      <c r="G60" s="330"/>
      <c r="H60" s="329">
        <v>0</v>
      </c>
      <c r="I60" s="369"/>
      <c r="J60" s="330"/>
      <c r="K60" s="26"/>
      <c r="L60" s="26"/>
      <c r="M60" s="26"/>
      <c r="N60" s="26"/>
      <c r="O60" s="26"/>
    </row>
    <row r="61" spans="1:15" ht="20.100000000000001" customHeight="1">
      <c r="A61" s="24" t="s">
        <v>79</v>
      </c>
      <c r="B61" s="331">
        <v>0</v>
      </c>
      <c r="C61" s="332"/>
      <c r="D61" s="333"/>
      <c r="E61" s="78">
        <v>0</v>
      </c>
      <c r="F61" s="329">
        <v>0</v>
      </c>
      <c r="G61" s="330"/>
      <c r="H61" s="329">
        <v>0</v>
      </c>
      <c r="I61" s="369"/>
      <c r="J61" s="330"/>
      <c r="K61" s="26"/>
      <c r="L61" s="26"/>
      <c r="M61" s="26"/>
      <c r="N61" s="26"/>
      <c r="O61" s="26"/>
    </row>
    <row r="62" spans="1:15" ht="20.100000000000001" customHeight="1">
      <c r="A62" s="24"/>
      <c r="B62" s="331"/>
      <c r="C62" s="332"/>
      <c r="D62" s="333"/>
      <c r="E62" s="78"/>
      <c r="F62" s="329"/>
      <c r="G62" s="330"/>
      <c r="H62" s="329"/>
      <c r="I62" s="369"/>
      <c r="J62" s="330"/>
      <c r="K62" s="26"/>
      <c r="L62" s="26"/>
      <c r="M62" s="26"/>
      <c r="N62" s="26"/>
      <c r="O62" s="26"/>
    </row>
    <row r="63" spans="1:15" ht="20.100000000000001" customHeight="1">
      <c r="A63" s="24" t="s">
        <v>206</v>
      </c>
      <c r="B63" s="331">
        <v>0</v>
      </c>
      <c r="C63" s="332"/>
      <c r="D63" s="333"/>
      <c r="E63" s="78">
        <f>'3. Рух грошових коштів'!F58</f>
        <v>1000</v>
      </c>
      <c r="F63" s="329">
        <f>'3. Рух грошових коштів'!F71</f>
        <v>1000</v>
      </c>
      <c r="G63" s="330"/>
      <c r="H63" s="329">
        <v>0</v>
      </c>
      <c r="I63" s="369"/>
      <c r="J63" s="330"/>
      <c r="K63" s="26"/>
      <c r="L63" s="26"/>
      <c r="M63" s="26"/>
      <c r="N63" s="26"/>
      <c r="O63" s="26"/>
    </row>
    <row r="64" spans="1:15" ht="20.100000000000001" customHeight="1">
      <c r="A64" s="24" t="s">
        <v>593</v>
      </c>
      <c r="B64" s="331">
        <v>0</v>
      </c>
      <c r="C64" s="332"/>
      <c r="D64" s="333"/>
      <c r="E64" s="78">
        <f>'3. Рух грошових коштів'!F58</f>
        <v>1000</v>
      </c>
      <c r="F64" s="329">
        <f>E64</f>
        <v>1000</v>
      </c>
      <c r="G64" s="330"/>
      <c r="H64" s="329">
        <v>0</v>
      </c>
      <c r="I64" s="369"/>
      <c r="J64" s="330"/>
      <c r="K64" s="26"/>
      <c r="L64" s="26"/>
      <c r="M64" s="26"/>
      <c r="N64" s="26"/>
      <c r="O64" s="26"/>
    </row>
    <row r="65" spans="1:29" ht="20.100000000000001" customHeight="1">
      <c r="A65" s="24"/>
      <c r="B65" s="331"/>
      <c r="C65" s="332"/>
      <c r="D65" s="333"/>
      <c r="E65" s="78"/>
      <c r="F65" s="329"/>
      <c r="G65" s="330"/>
      <c r="H65" s="329"/>
      <c r="I65" s="369"/>
      <c r="J65" s="330"/>
      <c r="K65" s="26"/>
      <c r="L65" s="26"/>
      <c r="M65" s="26"/>
      <c r="N65" s="26"/>
      <c r="O65" s="26"/>
    </row>
    <row r="66" spans="1:29" ht="20.100000000000001" customHeight="1">
      <c r="A66" s="24" t="s">
        <v>207</v>
      </c>
      <c r="B66" s="331">
        <v>0</v>
      </c>
      <c r="C66" s="332"/>
      <c r="D66" s="333"/>
      <c r="E66" s="78">
        <v>0</v>
      </c>
      <c r="F66" s="329">
        <v>0</v>
      </c>
      <c r="G66" s="330"/>
      <c r="H66" s="329">
        <v>0</v>
      </c>
      <c r="I66" s="369"/>
      <c r="J66" s="330"/>
      <c r="K66" s="26"/>
      <c r="L66" s="26"/>
      <c r="M66" s="26"/>
      <c r="N66" s="26"/>
      <c r="O66" s="26"/>
    </row>
    <row r="67" spans="1:29" ht="20.100000000000001" customHeight="1">
      <c r="A67" s="24" t="s">
        <v>79</v>
      </c>
      <c r="B67" s="331">
        <v>0</v>
      </c>
      <c r="C67" s="332"/>
      <c r="D67" s="333"/>
      <c r="E67" s="78">
        <v>0</v>
      </c>
      <c r="F67" s="329">
        <v>0</v>
      </c>
      <c r="G67" s="330"/>
      <c r="H67" s="329">
        <v>0</v>
      </c>
      <c r="I67" s="369"/>
      <c r="J67" s="330"/>
      <c r="K67" s="26"/>
      <c r="L67" s="26"/>
      <c r="M67" s="26"/>
      <c r="N67" s="26"/>
      <c r="O67" s="26"/>
    </row>
    <row r="68" spans="1:29" ht="20.100000000000001" customHeight="1">
      <c r="A68" s="24"/>
      <c r="B68" s="331"/>
      <c r="C68" s="332"/>
      <c r="D68" s="333"/>
      <c r="E68" s="79"/>
      <c r="F68" s="329"/>
      <c r="G68" s="330"/>
      <c r="H68" s="329"/>
      <c r="I68" s="369"/>
      <c r="J68" s="330"/>
      <c r="K68" s="26"/>
      <c r="L68" s="26"/>
      <c r="M68" s="26"/>
      <c r="N68" s="26"/>
      <c r="O68" s="26"/>
    </row>
    <row r="69" spans="1:29" ht="20.100000000000001" customHeight="1">
      <c r="A69" s="63" t="s">
        <v>39</v>
      </c>
      <c r="B69" s="334">
        <v>0</v>
      </c>
      <c r="C69" s="335"/>
      <c r="D69" s="336"/>
      <c r="E69" s="80">
        <f>E60+E63+E66</f>
        <v>1000</v>
      </c>
      <c r="F69" s="366">
        <f>F60+F63+F66</f>
        <v>1000</v>
      </c>
      <c r="G69" s="368"/>
      <c r="H69" s="366">
        <v>0</v>
      </c>
      <c r="I69" s="367"/>
      <c r="J69" s="368"/>
      <c r="K69" s="26"/>
      <c r="L69" s="26"/>
      <c r="M69" s="26"/>
      <c r="N69" s="26"/>
      <c r="O69" s="26"/>
    </row>
    <row r="70" spans="1:29" ht="20.100000000000001" customHeight="1">
      <c r="A70" s="81"/>
      <c r="B70" s="82"/>
      <c r="C70" s="82"/>
      <c r="D70" s="83"/>
      <c r="E70" s="84"/>
      <c r="F70" s="147"/>
      <c r="G70" s="85"/>
      <c r="H70" s="147"/>
      <c r="I70" s="147"/>
      <c r="J70" s="85"/>
      <c r="K70" s="26"/>
      <c r="L70" s="26"/>
      <c r="M70" s="26"/>
      <c r="N70" s="26"/>
      <c r="O70" s="26"/>
    </row>
    <row r="71" spans="1:29" s="228" customFormat="1" ht="19.5" customHeight="1">
      <c r="A71" s="38" t="s">
        <v>631</v>
      </c>
      <c r="B71" s="1"/>
      <c r="C71" s="299" t="s">
        <v>81</v>
      </c>
      <c r="D71" s="299"/>
      <c r="E71" s="299"/>
      <c r="F71" s="300"/>
      <c r="G71" s="158" t="s">
        <v>626</v>
      </c>
      <c r="H71" s="301"/>
      <c r="I71" s="301"/>
      <c r="J71" s="301"/>
    </row>
    <row r="72" spans="1:29" ht="15.75" customHeight="1">
      <c r="A72" s="67" t="s">
        <v>59</v>
      </c>
      <c r="B72" s="228"/>
      <c r="C72" s="283"/>
      <c r="D72" s="283"/>
      <c r="E72" s="230"/>
      <c r="G72" s="230" t="s">
        <v>78</v>
      </c>
      <c r="I72" s="228"/>
      <c r="J72" s="228"/>
    </row>
    <row r="73" spans="1:29" ht="20.100000000000001" customHeight="1">
      <c r="A73" s="81"/>
      <c r="B73" s="82"/>
      <c r="C73" s="82"/>
      <c r="D73" s="83"/>
      <c r="E73" s="84"/>
      <c r="F73" s="147"/>
      <c r="G73" s="85"/>
      <c r="H73" s="147"/>
      <c r="I73" s="147"/>
      <c r="J73" s="85"/>
      <c r="K73" s="26"/>
      <c r="L73" s="26"/>
      <c r="M73" s="26"/>
      <c r="N73" s="26"/>
      <c r="O73" s="26"/>
    </row>
    <row r="74" spans="1:29">
      <c r="A74" s="391" t="s">
        <v>237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</row>
    <row r="75" spans="1:29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</row>
    <row r="76" spans="1:29" ht="18.75" customHeight="1">
      <c r="A76" s="373" t="s">
        <v>34</v>
      </c>
      <c r="B76" s="379" t="s">
        <v>143</v>
      </c>
      <c r="C76" s="380"/>
      <c r="D76" s="381"/>
      <c r="E76" s="324" t="s">
        <v>144</v>
      </c>
      <c r="F76" s="324" t="s">
        <v>210</v>
      </c>
      <c r="G76" s="324" t="s">
        <v>145</v>
      </c>
      <c r="H76" s="321" t="s">
        <v>222</v>
      </c>
      <c r="I76" s="326"/>
      <c r="J76" s="326"/>
      <c r="K76" s="326"/>
      <c r="L76" s="327"/>
      <c r="M76" s="232"/>
      <c r="N76" s="232"/>
      <c r="O76" s="232"/>
      <c r="P76" s="232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</row>
    <row r="77" spans="1:29" ht="18.75" customHeight="1">
      <c r="A77" s="374"/>
      <c r="B77" s="385"/>
      <c r="C77" s="386"/>
      <c r="D77" s="387"/>
      <c r="E77" s="352"/>
      <c r="F77" s="352"/>
      <c r="G77" s="352"/>
      <c r="H77" s="239" t="s">
        <v>146</v>
      </c>
      <c r="I77" s="237" t="s">
        <v>147</v>
      </c>
      <c r="J77" s="237" t="s">
        <v>549</v>
      </c>
      <c r="K77" s="237" t="s">
        <v>148</v>
      </c>
      <c r="L77" s="87" t="s">
        <v>149</v>
      </c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0"/>
      <c r="Z77" s="230"/>
      <c r="AA77" s="230"/>
      <c r="AB77" s="230"/>
      <c r="AC77" s="230"/>
    </row>
    <row r="78" spans="1:29">
      <c r="A78" s="14">
        <v>1</v>
      </c>
      <c r="B78" s="376">
        <v>2</v>
      </c>
      <c r="C78" s="377"/>
      <c r="D78" s="378"/>
      <c r="E78" s="237">
        <v>3</v>
      </c>
      <c r="F78" s="237">
        <v>4</v>
      </c>
      <c r="G78" s="229">
        <v>5</v>
      </c>
      <c r="H78" s="237">
        <v>6</v>
      </c>
      <c r="I78" s="237">
        <v>7</v>
      </c>
      <c r="J78" s="237">
        <v>8</v>
      </c>
      <c r="K78" s="237">
        <v>9</v>
      </c>
      <c r="L78" s="233">
        <v>10</v>
      </c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0"/>
      <c r="X78" s="230"/>
      <c r="Y78" s="230"/>
      <c r="Z78" s="230"/>
      <c r="AA78" s="230"/>
      <c r="AB78" s="230"/>
      <c r="AC78" s="230"/>
    </row>
    <row r="79" spans="1:29" ht="31.5">
      <c r="A79" s="14">
        <v>1</v>
      </c>
      <c r="B79" s="376" t="s">
        <v>497</v>
      </c>
      <c r="C79" s="377"/>
      <c r="D79" s="378"/>
      <c r="E79" s="237">
        <v>2006</v>
      </c>
      <c r="F79" s="237" t="s">
        <v>498</v>
      </c>
      <c r="G79" s="234">
        <f>H79+I79+J79+K79</f>
        <v>180</v>
      </c>
      <c r="H79" s="31">
        <f>'1.Фінансовий результат'!F70</f>
        <v>180</v>
      </c>
      <c r="I79" s="31">
        <v>0</v>
      </c>
      <c r="J79" s="31">
        <f>I79*0.202</f>
        <v>0</v>
      </c>
      <c r="K79" s="31">
        <v>0</v>
      </c>
      <c r="L79" s="88">
        <v>0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>
      <c r="A80" s="89" t="s">
        <v>39</v>
      </c>
      <c r="B80" s="376"/>
      <c r="C80" s="377"/>
      <c r="D80" s="378"/>
      <c r="E80" s="14"/>
      <c r="F80" s="90"/>
      <c r="G80" s="91">
        <f t="shared" ref="G80:L80" si="1">G79</f>
        <v>180</v>
      </c>
      <c r="H80" s="91">
        <f t="shared" si="1"/>
        <v>180</v>
      </c>
      <c r="I80" s="91">
        <f t="shared" si="1"/>
        <v>0</v>
      </c>
      <c r="J80" s="91">
        <f t="shared" si="1"/>
        <v>0</v>
      </c>
      <c r="K80" s="91">
        <f t="shared" si="1"/>
        <v>0</v>
      </c>
      <c r="L80" s="91">
        <f t="shared" si="1"/>
        <v>0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84"/>
      <c r="N81" s="84"/>
      <c r="O81" s="84"/>
      <c r="P81" s="84"/>
      <c r="Q81" s="147"/>
      <c r="R81" s="147"/>
      <c r="S81" s="147"/>
      <c r="T81" s="147"/>
      <c r="U81" s="147"/>
      <c r="V81" s="147"/>
      <c r="W81" s="93"/>
      <c r="X81" s="93"/>
      <c r="Y81" s="93"/>
      <c r="Z81" s="93"/>
      <c r="AA81" s="93"/>
      <c r="AB81" s="93"/>
      <c r="AC81" s="93"/>
    </row>
    <row r="82" spans="1:29">
      <c r="A82" s="354" t="s">
        <v>238</v>
      </c>
      <c r="B82" s="354"/>
      <c r="C82" s="354"/>
      <c r="D82" s="354"/>
      <c r="E82" s="354"/>
      <c r="F82" s="354"/>
      <c r="G82" s="354"/>
      <c r="H82" s="354"/>
      <c r="I82" s="354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</row>
    <row r="83" spans="1:29">
      <c r="A83" s="238"/>
      <c r="B83" s="238"/>
      <c r="C83" s="284"/>
      <c r="D83" s="284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</row>
    <row r="84" spans="1:29" ht="18.75" customHeight="1">
      <c r="A84" s="373" t="s">
        <v>34</v>
      </c>
      <c r="B84" s="379" t="s">
        <v>150</v>
      </c>
      <c r="C84" s="380"/>
      <c r="D84" s="381"/>
      <c r="E84" s="324" t="s">
        <v>143</v>
      </c>
      <c r="F84" s="324" t="s">
        <v>210</v>
      </c>
      <c r="G84" s="324" t="s">
        <v>151</v>
      </c>
      <c r="H84" s="321" t="s">
        <v>152</v>
      </c>
      <c r="I84" s="326"/>
      <c r="J84" s="326"/>
      <c r="K84" s="326"/>
      <c r="L84" s="327"/>
      <c r="M84" s="232"/>
      <c r="N84" s="232"/>
      <c r="O84" s="232"/>
      <c r="P84" s="232"/>
      <c r="Q84" s="232"/>
      <c r="R84" s="232"/>
      <c r="S84" s="232"/>
      <c r="T84" s="232"/>
      <c r="U84" s="232"/>
      <c r="V84" s="230"/>
      <c r="W84" s="230"/>
      <c r="X84" s="230"/>
      <c r="Y84" s="230"/>
      <c r="Z84" s="230"/>
      <c r="AA84" s="230"/>
      <c r="AB84" s="230"/>
      <c r="AC84" s="230"/>
    </row>
    <row r="85" spans="1:29" ht="18.75" customHeight="1">
      <c r="A85" s="375"/>
      <c r="B85" s="382"/>
      <c r="C85" s="383"/>
      <c r="D85" s="384"/>
      <c r="E85" s="351"/>
      <c r="F85" s="351"/>
      <c r="G85" s="351"/>
      <c r="H85" s="324" t="s">
        <v>153</v>
      </c>
      <c r="I85" s="321" t="s">
        <v>75</v>
      </c>
      <c r="J85" s="326"/>
      <c r="K85" s="326"/>
      <c r="L85" s="327"/>
      <c r="M85" s="232"/>
      <c r="N85" s="232"/>
      <c r="O85" s="232"/>
      <c r="P85" s="232"/>
      <c r="Q85" s="232"/>
      <c r="R85" s="232"/>
      <c r="S85" s="232"/>
      <c r="T85" s="232"/>
      <c r="U85" s="232"/>
      <c r="V85" s="230"/>
      <c r="W85" s="230"/>
      <c r="X85" s="230"/>
      <c r="Y85" s="230"/>
      <c r="Z85" s="230"/>
      <c r="AA85" s="230"/>
      <c r="AB85" s="230"/>
      <c r="AC85" s="230"/>
    </row>
    <row r="86" spans="1:29">
      <c r="A86" s="374"/>
      <c r="B86" s="385"/>
      <c r="C86" s="386"/>
      <c r="D86" s="387"/>
      <c r="E86" s="352"/>
      <c r="F86" s="352"/>
      <c r="G86" s="352"/>
      <c r="H86" s="352"/>
      <c r="I86" s="237" t="s">
        <v>223</v>
      </c>
      <c r="J86" s="237" t="s">
        <v>224</v>
      </c>
      <c r="K86" s="237" t="s">
        <v>225</v>
      </c>
      <c r="L86" s="237" t="s">
        <v>226</v>
      </c>
      <c r="M86" s="232"/>
      <c r="N86" s="232"/>
      <c r="O86" s="232"/>
      <c r="P86" s="232"/>
      <c r="Q86" s="232"/>
      <c r="R86" s="232"/>
      <c r="S86" s="232"/>
      <c r="T86" s="232"/>
      <c r="U86" s="232"/>
      <c r="V86" s="230"/>
      <c r="W86" s="230"/>
      <c r="X86" s="230"/>
      <c r="Y86" s="230"/>
      <c r="Z86" s="230"/>
      <c r="AA86" s="230"/>
      <c r="AB86" s="230"/>
      <c r="AC86" s="230"/>
    </row>
    <row r="87" spans="1:29">
      <c r="A87" s="14">
        <v>1</v>
      </c>
      <c r="B87" s="376">
        <v>2</v>
      </c>
      <c r="C87" s="377"/>
      <c r="D87" s="378"/>
      <c r="E87" s="237">
        <v>3</v>
      </c>
      <c r="F87" s="237">
        <v>4</v>
      </c>
      <c r="G87" s="237">
        <v>5</v>
      </c>
      <c r="H87" s="237">
        <v>6</v>
      </c>
      <c r="I87" s="237">
        <v>7</v>
      </c>
      <c r="J87" s="237">
        <v>8</v>
      </c>
      <c r="K87" s="237">
        <v>9</v>
      </c>
      <c r="L87" s="237">
        <v>10</v>
      </c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0"/>
      <c r="Y87" s="230"/>
      <c r="Z87" s="230"/>
      <c r="AA87" s="230"/>
      <c r="AB87" s="230"/>
      <c r="AC87" s="230"/>
    </row>
    <row r="88" spans="1:29" ht="47.25">
      <c r="A88" s="22">
        <v>1</v>
      </c>
      <c r="B88" s="376" t="s">
        <v>674</v>
      </c>
      <c r="C88" s="377"/>
      <c r="D88" s="378"/>
      <c r="E88" s="237" t="s">
        <v>671</v>
      </c>
      <c r="F88" s="237" t="s">
        <v>673</v>
      </c>
      <c r="G88" s="266">
        <v>43497</v>
      </c>
      <c r="H88" s="31">
        <v>36</v>
      </c>
      <c r="I88" s="32" t="s">
        <v>672</v>
      </c>
      <c r="J88" s="32" t="s">
        <v>672</v>
      </c>
      <c r="K88" s="32" t="s">
        <v>672</v>
      </c>
      <c r="L88" s="32" t="s">
        <v>672</v>
      </c>
      <c r="M88" s="27"/>
      <c r="N88" s="27"/>
      <c r="O88" s="27"/>
      <c r="P88" s="27"/>
      <c r="Q88" s="28"/>
      <c r="R88" s="28"/>
      <c r="S88" s="28"/>
      <c r="T88" s="28"/>
      <c r="U88" s="28"/>
      <c r="V88" s="26"/>
      <c r="W88" s="26"/>
      <c r="X88" s="26"/>
      <c r="Y88" s="26"/>
      <c r="Z88" s="26"/>
      <c r="AA88" s="26"/>
      <c r="AB88" s="26"/>
      <c r="AC88" s="26"/>
    </row>
    <row r="89" spans="1:29">
      <c r="A89" s="89" t="s">
        <v>39</v>
      </c>
      <c r="B89" s="388"/>
      <c r="C89" s="389"/>
      <c r="D89" s="390"/>
      <c r="E89" s="89"/>
      <c r="F89" s="89"/>
      <c r="G89" s="89"/>
      <c r="H89" s="94">
        <f>SUM(H88)</f>
        <v>36</v>
      </c>
      <c r="I89" s="89"/>
      <c r="J89" s="89"/>
      <c r="K89" s="89"/>
      <c r="L89" s="89"/>
      <c r="M89" s="66"/>
      <c r="N89" s="66"/>
      <c r="O89" s="66"/>
      <c r="P89" s="66"/>
      <c r="Q89" s="66"/>
      <c r="R89" s="66"/>
      <c r="S89" s="66"/>
      <c r="T89" s="66"/>
      <c r="U89" s="66"/>
      <c r="V89" s="26"/>
      <c r="W89" s="26"/>
      <c r="X89" s="26"/>
      <c r="Y89" s="26"/>
      <c r="Z89" s="26"/>
      <c r="AA89" s="26"/>
      <c r="AB89" s="26"/>
      <c r="AC89" s="26"/>
    </row>
    <row r="90" spans="1:29">
      <c r="A90" s="66"/>
      <c r="B90" s="66"/>
      <c r="C90" s="66"/>
      <c r="D90" s="95"/>
      <c r="E90" s="66"/>
      <c r="F90" s="66"/>
      <c r="G90" s="66"/>
      <c r="H90" s="9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26"/>
      <c r="W90" s="26"/>
      <c r="X90" s="26"/>
      <c r="Y90" s="26"/>
      <c r="Z90" s="26"/>
      <c r="AA90" s="26"/>
      <c r="AB90" s="26"/>
      <c r="AC90" s="26"/>
    </row>
    <row r="91" spans="1:29" s="228" customFormat="1" ht="19.5" customHeight="1">
      <c r="A91" s="38" t="s">
        <v>631</v>
      </c>
      <c r="B91" s="1"/>
      <c r="C91" s="299" t="s">
        <v>81</v>
      </c>
      <c r="D91" s="299"/>
      <c r="E91" s="299"/>
      <c r="F91" s="300"/>
      <c r="G91" s="158" t="s">
        <v>626</v>
      </c>
      <c r="I91" s="158"/>
      <c r="J91" s="158"/>
    </row>
    <row r="92" spans="1:29" ht="15.75" customHeight="1">
      <c r="A92" s="67" t="s">
        <v>59</v>
      </c>
      <c r="B92" s="228"/>
      <c r="C92" s="283"/>
      <c r="D92" s="283"/>
      <c r="E92" s="230"/>
      <c r="G92" s="230" t="s">
        <v>78</v>
      </c>
      <c r="I92" s="228"/>
      <c r="J92" s="228"/>
    </row>
    <row r="93" spans="1:29">
      <c r="A93" s="230"/>
      <c r="B93" s="230"/>
      <c r="C93" s="283"/>
      <c r="D93" s="283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Q93" s="62"/>
      <c r="R93" s="62"/>
      <c r="S93" s="62"/>
      <c r="T93" s="62"/>
      <c r="U93" s="62"/>
      <c r="AC93" s="62"/>
    </row>
    <row r="94" spans="1:29">
      <c r="A94" s="354" t="s">
        <v>220</v>
      </c>
      <c r="B94" s="354"/>
      <c r="C94" s="354"/>
      <c r="D94" s="354"/>
      <c r="E94" s="354"/>
      <c r="F94" s="354"/>
      <c r="G94" s="354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</row>
    <row r="95" spans="1:29">
      <c r="A95" s="97"/>
      <c r="B95" s="97"/>
      <c r="C95" s="97"/>
      <c r="D95" s="97"/>
      <c r="E95" s="97"/>
      <c r="F95" s="97"/>
      <c r="G95" s="97"/>
      <c r="H95" s="97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7"/>
      <c r="W95" s="370" t="s">
        <v>171</v>
      </c>
      <c r="X95" s="370"/>
      <c r="Y95" s="370"/>
      <c r="Z95" s="370"/>
      <c r="AA95" s="370"/>
      <c r="AB95" s="370"/>
      <c r="AC95" s="370"/>
    </row>
    <row r="96" spans="1:29" ht="18.75" customHeight="1">
      <c r="A96" s="349" t="s">
        <v>34</v>
      </c>
      <c r="B96" s="337" t="s">
        <v>172</v>
      </c>
      <c r="C96" s="395"/>
      <c r="D96" s="339"/>
      <c r="E96" s="321" t="s">
        <v>38</v>
      </c>
      <c r="F96" s="326"/>
      <c r="G96" s="326"/>
      <c r="H96" s="326"/>
      <c r="I96" s="327"/>
      <c r="J96" s="321" t="s">
        <v>67</v>
      </c>
      <c r="K96" s="326"/>
      <c r="L96" s="326"/>
      <c r="M96" s="326"/>
      <c r="N96" s="327"/>
      <c r="O96" s="321" t="s">
        <v>190</v>
      </c>
      <c r="P96" s="326"/>
      <c r="Q96" s="326"/>
      <c r="R96" s="326"/>
      <c r="S96" s="327"/>
      <c r="T96" s="321" t="s">
        <v>96</v>
      </c>
      <c r="U96" s="326"/>
      <c r="V96" s="326"/>
      <c r="W96" s="326"/>
      <c r="X96" s="327"/>
      <c r="Y96" s="349" t="s">
        <v>39</v>
      </c>
      <c r="Z96" s="349"/>
      <c r="AA96" s="349"/>
      <c r="AB96" s="349"/>
      <c r="AC96" s="349"/>
    </row>
    <row r="97" spans="1:33">
      <c r="A97" s="349"/>
      <c r="B97" s="340"/>
      <c r="C97" s="400"/>
      <c r="D97" s="342"/>
      <c r="E97" s="324" t="s">
        <v>100</v>
      </c>
      <c r="F97" s="321" t="s">
        <v>75</v>
      </c>
      <c r="G97" s="326"/>
      <c r="H97" s="326"/>
      <c r="I97" s="327"/>
      <c r="J97" s="324" t="s">
        <v>100</v>
      </c>
      <c r="K97" s="321" t="s">
        <v>75</v>
      </c>
      <c r="L97" s="322"/>
      <c r="M97" s="322"/>
      <c r="N97" s="323"/>
      <c r="O97" s="324" t="s">
        <v>100</v>
      </c>
      <c r="P97" s="321" t="s">
        <v>75</v>
      </c>
      <c r="Q97" s="326"/>
      <c r="R97" s="326"/>
      <c r="S97" s="327"/>
      <c r="T97" s="324" t="s">
        <v>100</v>
      </c>
      <c r="U97" s="321" t="s">
        <v>75</v>
      </c>
      <c r="V97" s="326"/>
      <c r="W97" s="326"/>
      <c r="X97" s="327"/>
      <c r="Y97" s="349" t="s">
        <v>100</v>
      </c>
      <c r="Z97" s="349" t="s">
        <v>75</v>
      </c>
      <c r="AA97" s="349"/>
      <c r="AB97" s="349"/>
      <c r="AC97" s="349"/>
    </row>
    <row r="98" spans="1:33">
      <c r="A98" s="349"/>
      <c r="B98" s="343"/>
      <c r="C98" s="344"/>
      <c r="D98" s="345"/>
      <c r="E98" s="325"/>
      <c r="F98" s="237" t="s">
        <v>227</v>
      </c>
      <c r="G98" s="237" t="s">
        <v>224</v>
      </c>
      <c r="H98" s="237" t="s">
        <v>225</v>
      </c>
      <c r="I98" s="237" t="s">
        <v>226</v>
      </c>
      <c r="J98" s="325"/>
      <c r="K98" s="237" t="s">
        <v>227</v>
      </c>
      <c r="L98" s="237" t="s">
        <v>224</v>
      </c>
      <c r="M98" s="237" t="s">
        <v>225</v>
      </c>
      <c r="N98" s="237" t="s">
        <v>226</v>
      </c>
      <c r="O98" s="325"/>
      <c r="P98" s="237" t="s">
        <v>56</v>
      </c>
      <c r="Q98" s="237" t="s">
        <v>57</v>
      </c>
      <c r="R98" s="237" t="s">
        <v>55</v>
      </c>
      <c r="S98" s="237" t="s">
        <v>54</v>
      </c>
      <c r="T98" s="325"/>
      <c r="U98" s="237" t="s">
        <v>56</v>
      </c>
      <c r="V98" s="237" t="s">
        <v>57</v>
      </c>
      <c r="W98" s="237" t="s">
        <v>55</v>
      </c>
      <c r="X98" s="237" t="s">
        <v>54</v>
      </c>
      <c r="Y98" s="349"/>
      <c r="Z98" s="237" t="s">
        <v>56</v>
      </c>
      <c r="AA98" s="237" t="s">
        <v>57</v>
      </c>
      <c r="AB98" s="237" t="s">
        <v>55</v>
      </c>
      <c r="AC98" s="237" t="s">
        <v>54</v>
      </c>
    </row>
    <row r="99" spans="1:33">
      <c r="A99" s="237">
        <v>1</v>
      </c>
      <c r="B99" s="321">
        <v>2</v>
      </c>
      <c r="C99" s="326"/>
      <c r="D99" s="323"/>
      <c r="E99" s="237">
        <v>3</v>
      </c>
      <c r="F99" s="237">
        <v>4</v>
      </c>
      <c r="G99" s="237">
        <v>5</v>
      </c>
      <c r="H99" s="237">
        <v>6</v>
      </c>
      <c r="I99" s="237">
        <v>7</v>
      </c>
      <c r="J99" s="237">
        <v>8</v>
      </c>
      <c r="K99" s="237">
        <v>9</v>
      </c>
      <c r="L99" s="237">
        <v>10</v>
      </c>
      <c r="M99" s="237">
        <v>11</v>
      </c>
      <c r="N99" s="237">
        <v>12</v>
      </c>
      <c r="O99" s="237">
        <v>13</v>
      </c>
      <c r="P99" s="237">
        <v>14</v>
      </c>
      <c r="Q99" s="237">
        <v>15</v>
      </c>
      <c r="R99" s="237">
        <v>16</v>
      </c>
      <c r="S99" s="237">
        <v>17</v>
      </c>
      <c r="T99" s="237">
        <v>18</v>
      </c>
      <c r="U99" s="237">
        <v>19</v>
      </c>
      <c r="V99" s="235">
        <v>20</v>
      </c>
      <c r="W99" s="235">
        <v>21</v>
      </c>
      <c r="X99" s="235">
        <v>22</v>
      </c>
      <c r="Y99" s="235">
        <v>23</v>
      </c>
      <c r="Z99" s="235">
        <v>24</v>
      </c>
      <c r="AA99" s="235">
        <v>25</v>
      </c>
      <c r="AB99" s="235">
        <v>26</v>
      </c>
      <c r="AC99" s="235">
        <v>27</v>
      </c>
    </row>
    <row r="100" spans="1:33">
      <c r="A100" s="242">
        <v>1</v>
      </c>
      <c r="B100" s="401" t="s">
        <v>551</v>
      </c>
      <c r="C100" s="402"/>
      <c r="D100" s="357"/>
      <c r="E100" s="31"/>
      <c r="F100" s="32"/>
      <c r="G100" s="32"/>
      <c r="H100" s="242"/>
      <c r="I100" s="242"/>
      <c r="J100" s="241">
        <v>0</v>
      </c>
      <c r="K100" s="241">
        <f>'4. Кап. інвестиції'!G11</f>
        <v>0</v>
      </c>
      <c r="L100" s="241">
        <f>'4. Кап. інвестиції'!H11</f>
        <v>0</v>
      </c>
      <c r="M100" s="241">
        <v>0</v>
      </c>
      <c r="N100" s="241">
        <f>'4. Кап. інвестиції'!J11</f>
        <v>0</v>
      </c>
      <c r="O100" s="241">
        <v>0</v>
      </c>
      <c r="P100" s="241">
        <v>0</v>
      </c>
      <c r="Q100" s="241">
        <v>0</v>
      </c>
      <c r="R100" s="241">
        <v>0</v>
      </c>
      <c r="S100" s="241">
        <v>0</v>
      </c>
      <c r="T100" s="241">
        <v>0</v>
      </c>
      <c r="U100" s="33">
        <v>0</v>
      </c>
      <c r="V100" s="33">
        <v>0</v>
      </c>
      <c r="W100" s="33">
        <v>0</v>
      </c>
      <c r="X100" s="33">
        <v>0</v>
      </c>
      <c r="Y100" s="241">
        <f t="shared" ref="Y100:AC104" si="2">E100+J100+O100+T100</f>
        <v>0</v>
      </c>
      <c r="Z100" s="241">
        <f t="shared" si="2"/>
        <v>0</v>
      </c>
      <c r="AA100" s="241">
        <f t="shared" si="2"/>
        <v>0</v>
      </c>
      <c r="AB100" s="241">
        <f t="shared" si="2"/>
        <v>0</v>
      </c>
      <c r="AC100" s="241">
        <f t="shared" si="2"/>
        <v>0</v>
      </c>
    </row>
    <row r="101" spans="1:33">
      <c r="A101" s="242">
        <v>2</v>
      </c>
      <c r="B101" s="401" t="s">
        <v>550</v>
      </c>
      <c r="C101" s="402"/>
      <c r="D101" s="405"/>
      <c r="E101" s="31"/>
      <c r="F101" s="32"/>
      <c r="G101" s="32"/>
      <c r="H101" s="242"/>
      <c r="I101" s="242"/>
      <c r="J101" s="241">
        <f>'4. Кап. інвестиції'!F11+'4. Кап. інвестиції'!F14</f>
        <v>1323</v>
      </c>
      <c r="K101" s="254">
        <f>'4. Кап. інвестиції'!G11+'4. Кап. інвестиції'!G14</f>
        <v>0</v>
      </c>
      <c r="L101" s="254">
        <f>'4. Кап. інвестиції'!H11+'4. Кап. інвестиції'!H14</f>
        <v>0</v>
      </c>
      <c r="M101" s="254">
        <f>'4. Кап. інвестиції'!I11+'4. Кап. інвестиції'!I14</f>
        <v>1323</v>
      </c>
      <c r="N101" s="254">
        <f>'4. Кап. інвестиції'!J11+'4. Кап. інвестиції'!J14</f>
        <v>0</v>
      </c>
      <c r="O101" s="241">
        <f>'4. Кап. інвестиції'!F12+'4. Кап. інвестиції'!F13+'4. Кап. інвестиції'!F15</f>
        <v>5850</v>
      </c>
      <c r="P101" s="254">
        <f>'4. Кап. інвестиції'!G12+'4. Кап. інвестиції'!G13+'4. Кап. інвестиції'!G15</f>
        <v>75</v>
      </c>
      <c r="Q101" s="254">
        <f>'4. Кап. інвестиції'!H12+'4. Кап. інвестиції'!H13+'4. Кап. інвестиції'!H15</f>
        <v>75</v>
      </c>
      <c r="R101" s="254">
        <f>'4. Кап. інвестиції'!I12+'4. Кап. інвестиції'!I13+'4. Кап. інвестиції'!I15</f>
        <v>75</v>
      </c>
      <c r="S101" s="254">
        <f>'4. Кап. інвестиції'!J12+'4. Кап. інвестиції'!J13+'4. Кап. інвестиції'!J15</f>
        <v>5625</v>
      </c>
      <c r="T101" s="241">
        <v>0</v>
      </c>
      <c r="U101" s="33">
        <v>0</v>
      </c>
      <c r="V101" s="33">
        <v>0</v>
      </c>
      <c r="W101" s="33">
        <v>0</v>
      </c>
      <c r="X101" s="33">
        <v>0</v>
      </c>
      <c r="Y101" s="241">
        <f t="shared" si="2"/>
        <v>7173</v>
      </c>
      <c r="Z101" s="241">
        <f t="shared" si="2"/>
        <v>75</v>
      </c>
      <c r="AA101" s="241">
        <f t="shared" si="2"/>
        <v>75</v>
      </c>
      <c r="AB101" s="241">
        <f t="shared" si="2"/>
        <v>1398</v>
      </c>
      <c r="AC101" s="241">
        <f t="shared" si="2"/>
        <v>5625</v>
      </c>
    </row>
    <row r="102" spans="1:33">
      <c r="A102" s="242">
        <v>3</v>
      </c>
      <c r="B102" s="401" t="s">
        <v>552</v>
      </c>
      <c r="C102" s="402"/>
      <c r="D102" s="405"/>
      <c r="E102" s="31"/>
      <c r="F102" s="32"/>
      <c r="G102" s="32"/>
      <c r="H102" s="242"/>
      <c r="I102" s="242"/>
      <c r="J102" s="241">
        <v>0</v>
      </c>
      <c r="K102" s="254">
        <v>0</v>
      </c>
      <c r="L102" s="254">
        <v>0</v>
      </c>
      <c r="M102" s="254">
        <v>0</v>
      </c>
      <c r="N102" s="254">
        <v>0</v>
      </c>
      <c r="O102" s="241">
        <f>'4. Кап. інвестиції'!F16</f>
        <v>250</v>
      </c>
      <c r="P102" s="254">
        <f>'4. Кап. інвестиції'!G16</f>
        <v>62.5</v>
      </c>
      <c r="Q102" s="254">
        <f>'4. Кап. інвестиції'!H16</f>
        <v>62.5</v>
      </c>
      <c r="R102" s="254">
        <f>'4. Кап. інвестиції'!I16</f>
        <v>62.5</v>
      </c>
      <c r="S102" s="254">
        <f>'4. Кап. інвестиції'!J16</f>
        <v>62.5</v>
      </c>
      <c r="T102" s="241">
        <v>0</v>
      </c>
      <c r="U102" s="33">
        <v>0</v>
      </c>
      <c r="V102" s="33">
        <v>0</v>
      </c>
      <c r="W102" s="33">
        <v>0</v>
      </c>
      <c r="X102" s="33">
        <v>0</v>
      </c>
      <c r="Y102" s="241">
        <f t="shared" si="2"/>
        <v>250</v>
      </c>
      <c r="Z102" s="241">
        <f t="shared" si="2"/>
        <v>62.5</v>
      </c>
      <c r="AA102" s="241">
        <f t="shared" si="2"/>
        <v>62.5</v>
      </c>
      <c r="AB102" s="241">
        <f t="shared" si="2"/>
        <v>62.5</v>
      </c>
      <c r="AC102" s="241">
        <f t="shared" si="2"/>
        <v>62.5</v>
      </c>
    </row>
    <row r="103" spans="1:33">
      <c r="A103" s="242">
        <v>4</v>
      </c>
      <c r="B103" s="401" t="s">
        <v>553</v>
      </c>
      <c r="C103" s="402"/>
      <c r="D103" s="405"/>
      <c r="E103" s="31"/>
      <c r="F103" s="32"/>
      <c r="G103" s="32"/>
      <c r="H103" s="242"/>
      <c r="I103" s="242"/>
      <c r="J103" s="241">
        <f t="shared" ref="J103:J104" si="3">SUM(K103:N103)</f>
        <v>0</v>
      </c>
      <c r="K103" s="241">
        <v>0</v>
      </c>
      <c r="L103" s="241">
        <v>0</v>
      </c>
      <c r="M103" s="241">
        <v>0</v>
      </c>
      <c r="N103" s="241">
        <v>0</v>
      </c>
      <c r="O103" s="241">
        <f>SUM(P103:S103)</f>
        <v>0</v>
      </c>
      <c r="P103" s="241">
        <f>'4. Кап. інвестиції'!G19</f>
        <v>0</v>
      </c>
      <c r="Q103" s="241">
        <f>'4. Кап. інвестиції'!H19</f>
        <v>0</v>
      </c>
      <c r="R103" s="241">
        <f>'4. Кап. інвестиції'!I19</f>
        <v>0</v>
      </c>
      <c r="S103" s="241">
        <f>'4. Кап. інвестиції'!J19</f>
        <v>0</v>
      </c>
      <c r="T103" s="241">
        <v>0</v>
      </c>
      <c r="U103" s="33">
        <v>0</v>
      </c>
      <c r="V103" s="33">
        <v>0</v>
      </c>
      <c r="W103" s="33">
        <v>0</v>
      </c>
      <c r="X103" s="33">
        <v>0</v>
      </c>
      <c r="Y103" s="241">
        <f t="shared" si="2"/>
        <v>0</v>
      </c>
      <c r="Z103" s="241">
        <f t="shared" si="2"/>
        <v>0</v>
      </c>
      <c r="AA103" s="241">
        <f t="shared" si="2"/>
        <v>0</v>
      </c>
      <c r="AB103" s="241">
        <f t="shared" si="2"/>
        <v>0</v>
      </c>
      <c r="AC103" s="241">
        <f t="shared" si="2"/>
        <v>0</v>
      </c>
    </row>
    <row r="104" spans="1:33">
      <c r="A104" s="100" t="s">
        <v>39</v>
      </c>
      <c r="B104" s="356"/>
      <c r="C104" s="394"/>
      <c r="D104" s="357"/>
      <c r="E104" s="31"/>
      <c r="F104" s="100"/>
      <c r="G104" s="100"/>
      <c r="H104" s="242"/>
      <c r="I104" s="242"/>
      <c r="J104" s="241">
        <f t="shared" si="3"/>
        <v>1323</v>
      </c>
      <c r="K104" s="241">
        <f t="shared" ref="K104:S104" si="4">SUM(K100:K103)</f>
        <v>0</v>
      </c>
      <c r="L104" s="241">
        <f t="shared" si="4"/>
        <v>0</v>
      </c>
      <c r="M104" s="241">
        <f t="shared" si="4"/>
        <v>1323</v>
      </c>
      <c r="N104" s="241">
        <f t="shared" si="4"/>
        <v>0</v>
      </c>
      <c r="O104" s="241">
        <f t="shared" si="4"/>
        <v>6100</v>
      </c>
      <c r="P104" s="241">
        <f t="shared" si="4"/>
        <v>137.5</v>
      </c>
      <c r="Q104" s="241">
        <f t="shared" si="4"/>
        <v>137.5</v>
      </c>
      <c r="R104" s="241">
        <f t="shared" si="4"/>
        <v>137.5</v>
      </c>
      <c r="S104" s="241">
        <f t="shared" si="4"/>
        <v>5687.5</v>
      </c>
      <c r="T104" s="241">
        <v>0</v>
      </c>
      <c r="U104" s="33">
        <v>0</v>
      </c>
      <c r="V104" s="33">
        <v>0</v>
      </c>
      <c r="W104" s="33">
        <v>0</v>
      </c>
      <c r="X104" s="33">
        <v>0</v>
      </c>
      <c r="Y104" s="241">
        <f t="shared" si="2"/>
        <v>7423</v>
      </c>
      <c r="Z104" s="99">
        <f t="shared" si="2"/>
        <v>137.5</v>
      </c>
      <c r="AA104" s="99">
        <f t="shared" si="2"/>
        <v>137.5</v>
      </c>
      <c r="AB104" s="99">
        <f t="shared" si="2"/>
        <v>1460.5</v>
      </c>
      <c r="AC104" s="99">
        <f t="shared" si="2"/>
        <v>5687.5</v>
      </c>
    </row>
    <row r="105" spans="1:33">
      <c r="A105" s="24" t="s">
        <v>40</v>
      </c>
      <c r="B105" s="392"/>
      <c r="C105" s="393"/>
      <c r="D105" s="357"/>
      <c r="E105" s="24"/>
      <c r="F105" s="24"/>
      <c r="G105" s="237"/>
      <c r="H105" s="101"/>
      <c r="I105" s="101"/>
      <c r="J105" s="31">
        <f>J104/Y104*100</f>
        <v>17.82298262158157</v>
      </c>
      <c r="K105" s="31">
        <f>K104/Z104*100</f>
        <v>0</v>
      </c>
      <c r="L105" s="31">
        <f>L104/AA104*100</f>
        <v>0</v>
      </c>
      <c r="M105" s="31">
        <f>M104/AB104*100</f>
        <v>90.585415953440602</v>
      </c>
      <c r="N105" s="31">
        <f>N104/AC104*100</f>
        <v>0</v>
      </c>
      <c r="O105" s="31">
        <f>O104/Y104*100</f>
        <v>82.177017378418427</v>
      </c>
      <c r="P105" s="31">
        <f>P104/Z104*100</f>
        <v>100</v>
      </c>
      <c r="Q105" s="31">
        <f>Q104/AA104*100</f>
        <v>100</v>
      </c>
      <c r="R105" s="31">
        <f>R104/AB104*100</f>
        <v>9.4145840465593977</v>
      </c>
      <c r="S105" s="31">
        <f>S104/AC104*100</f>
        <v>100</v>
      </c>
      <c r="T105" s="78"/>
      <c r="U105" s="78"/>
      <c r="V105" s="78"/>
      <c r="W105" s="237"/>
      <c r="X105" s="237"/>
      <c r="Y105" s="78"/>
      <c r="Z105" s="102"/>
      <c r="AA105" s="102"/>
      <c r="AB105" s="102"/>
      <c r="AC105" s="102"/>
    </row>
    <row r="106" spans="1:33" ht="18.75" customHeight="1">
      <c r="F106" s="403"/>
      <c r="G106" s="404"/>
      <c r="H106" s="404"/>
      <c r="I106" s="404"/>
    </row>
    <row r="107" spans="1:33" ht="18.75" customHeight="1">
      <c r="F107" s="228"/>
      <c r="G107" s="103"/>
      <c r="H107" s="103"/>
      <c r="I107" s="103"/>
    </row>
    <row r="108" spans="1:33">
      <c r="A108" s="104" t="s">
        <v>554</v>
      </c>
    </row>
    <row r="109" spans="1:33">
      <c r="A109" s="104"/>
      <c r="U109" s="8" t="s">
        <v>254</v>
      </c>
    </row>
    <row r="110" spans="1:33" ht="18.75" customHeight="1">
      <c r="A110" s="353" t="s">
        <v>34</v>
      </c>
      <c r="B110" s="337" t="s">
        <v>244</v>
      </c>
      <c r="C110" s="395"/>
      <c r="D110" s="339"/>
      <c r="E110" s="324" t="s">
        <v>245</v>
      </c>
      <c r="F110" s="324" t="s">
        <v>246</v>
      </c>
      <c r="G110" s="324" t="s">
        <v>241</v>
      </c>
      <c r="H110" s="324" t="s">
        <v>242</v>
      </c>
      <c r="I110" s="321" t="s">
        <v>100</v>
      </c>
      <c r="J110" s="326"/>
      <c r="K110" s="326"/>
      <c r="L110" s="326"/>
      <c r="M110" s="327"/>
      <c r="N110" s="337" t="s">
        <v>247</v>
      </c>
      <c r="O110" s="338"/>
      <c r="P110" s="339"/>
      <c r="Q110" s="349" t="s">
        <v>248</v>
      </c>
      <c r="R110" s="349"/>
      <c r="S110" s="349"/>
      <c r="T110" s="349"/>
      <c r="U110" s="349"/>
      <c r="V110" s="349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</row>
    <row r="111" spans="1:33">
      <c r="A111" s="353"/>
      <c r="B111" s="396"/>
      <c r="C111" s="397"/>
      <c r="D111" s="342"/>
      <c r="E111" s="346"/>
      <c r="F111" s="346"/>
      <c r="G111" s="346"/>
      <c r="H111" s="346"/>
      <c r="I111" s="324" t="s">
        <v>243</v>
      </c>
      <c r="J111" s="324" t="s">
        <v>249</v>
      </c>
      <c r="K111" s="321" t="s">
        <v>253</v>
      </c>
      <c r="L111" s="322"/>
      <c r="M111" s="323"/>
      <c r="N111" s="340"/>
      <c r="O111" s="341"/>
      <c r="P111" s="342"/>
      <c r="Q111" s="349"/>
      <c r="R111" s="349"/>
      <c r="S111" s="349"/>
      <c r="T111" s="349"/>
      <c r="U111" s="349"/>
      <c r="V111" s="349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</row>
    <row r="112" spans="1:33" ht="114.75" customHeight="1">
      <c r="A112" s="353"/>
      <c r="B112" s="398"/>
      <c r="C112" s="399"/>
      <c r="D112" s="345"/>
      <c r="E112" s="325"/>
      <c r="F112" s="325"/>
      <c r="G112" s="325"/>
      <c r="H112" s="325"/>
      <c r="I112" s="325"/>
      <c r="J112" s="325"/>
      <c r="K112" s="239" t="s">
        <v>250</v>
      </c>
      <c r="L112" s="237" t="s">
        <v>251</v>
      </c>
      <c r="M112" s="237" t="s">
        <v>252</v>
      </c>
      <c r="N112" s="343"/>
      <c r="O112" s="344"/>
      <c r="P112" s="345"/>
      <c r="Q112" s="349"/>
      <c r="R112" s="349"/>
      <c r="S112" s="349"/>
      <c r="T112" s="349"/>
      <c r="U112" s="349"/>
      <c r="V112" s="349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</row>
    <row r="113" spans="1:33">
      <c r="A113" s="235">
        <v>1</v>
      </c>
      <c r="B113" s="321">
        <v>2</v>
      </c>
      <c r="C113" s="326"/>
      <c r="D113" s="323"/>
      <c r="E113" s="237">
        <v>3</v>
      </c>
      <c r="F113" s="237">
        <v>4</v>
      </c>
      <c r="G113" s="237">
        <v>5</v>
      </c>
      <c r="H113" s="237">
        <v>6</v>
      </c>
      <c r="I113" s="237">
        <v>7</v>
      </c>
      <c r="J113" s="237">
        <v>8</v>
      </c>
      <c r="K113" s="237">
        <v>9</v>
      </c>
      <c r="L113" s="237">
        <v>10</v>
      </c>
      <c r="M113" s="237">
        <v>11</v>
      </c>
      <c r="N113" s="321">
        <v>12</v>
      </c>
      <c r="O113" s="322"/>
      <c r="P113" s="323"/>
      <c r="Q113" s="321">
        <v>13</v>
      </c>
      <c r="R113" s="326"/>
      <c r="S113" s="371"/>
      <c r="T113" s="371"/>
      <c r="U113" s="371"/>
      <c r="V113" s="372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</row>
    <row r="114" spans="1:33">
      <c r="A114" s="24" t="s">
        <v>39</v>
      </c>
      <c r="B114" s="392"/>
      <c r="C114" s="393"/>
      <c r="D114" s="357"/>
      <c r="E114" s="24"/>
      <c r="F114" s="241"/>
      <c r="G114" s="241"/>
      <c r="H114" s="237"/>
      <c r="I114" s="237"/>
      <c r="J114" s="237"/>
      <c r="K114" s="237"/>
      <c r="L114" s="237"/>
      <c r="M114" s="237"/>
      <c r="N114" s="321"/>
      <c r="O114" s="322"/>
      <c r="P114" s="323"/>
      <c r="Q114" s="321"/>
      <c r="R114" s="326"/>
      <c r="S114" s="322"/>
      <c r="T114" s="322"/>
      <c r="U114" s="322"/>
      <c r="V114" s="323"/>
      <c r="W114" s="105"/>
      <c r="X114" s="105"/>
      <c r="Y114" s="105"/>
      <c r="Z114" s="105"/>
      <c r="AA114" s="105"/>
      <c r="AB114" s="106"/>
      <c r="AC114" s="106"/>
      <c r="AD114" s="106"/>
      <c r="AE114" s="106"/>
      <c r="AF114" s="106"/>
      <c r="AG114" s="106"/>
    </row>
    <row r="117" spans="1:33" s="236" customFormat="1" ht="19.5" customHeight="1">
      <c r="A117" s="38" t="s">
        <v>631</v>
      </c>
      <c r="B117" s="1"/>
      <c r="C117" s="299" t="s">
        <v>81</v>
      </c>
      <c r="D117" s="299"/>
      <c r="E117" s="299"/>
      <c r="F117" s="300"/>
      <c r="G117" s="6"/>
      <c r="H117" s="301" t="s">
        <v>626</v>
      </c>
      <c r="I117" s="301"/>
      <c r="J117" s="301"/>
    </row>
    <row r="118" spans="1:33" ht="15.75" customHeight="1">
      <c r="A118" s="67" t="s">
        <v>59</v>
      </c>
      <c r="B118" s="228"/>
      <c r="C118" s="280"/>
      <c r="D118" s="358" t="s">
        <v>60</v>
      </c>
      <c r="E118" s="358"/>
      <c r="F118" s="358"/>
      <c r="G118" s="107"/>
      <c r="H118" s="358" t="s">
        <v>78</v>
      </c>
      <c r="I118" s="358"/>
      <c r="J118" s="358"/>
    </row>
  </sheetData>
  <mergeCells count="178">
    <mergeCell ref="H33:J33"/>
    <mergeCell ref="H46:J46"/>
    <mergeCell ref="H71:J71"/>
    <mergeCell ref="H117:J117"/>
    <mergeCell ref="I54:J54"/>
    <mergeCell ref="H58:J58"/>
    <mergeCell ref="H59:J59"/>
    <mergeCell ref="H60:J60"/>
    <mergeCell ref="H61:J61"/>
    <mergeCell ref="H68:J68"/>
    <mergeCell ref="D118:F118"/>
    <mergeCell ref="B114:D114"/>
    <mergeCell ref="B104:D104"/>
    <mergeCell ref="B105:D105"/>
    <mergeCell ref="B110:D112"/>
    <mergeCell ref="B113:D113"/>
    <mergeCell ref="B96:D98"/>
    <mergeCell ref="B99:D99"/>
    <mergeCell ref="B100:D100"/>
    <mergeCell ref="F106:I106"/>
    <mergeCell ref="B101:D101"/>
    <mergeCell ref="B102:D102"/>
    <mergeCell ref="B103:D103"/>
    <mergeCell ref="H118:J118"/>
    <mergeCell ref="E96:I96"/>
    <mergeCell ref="C117:F117"/>
    <mergeCell ref="E110:E112"/>
    <mergeCell ref="F110:F112"/>
    <mergeCell ref="E97:E98"/>
    <mergeCell ref="J97:J98"/>
    <mergeCell ref="J96:N96"/>
    <mergeCell ref="F97:I97"/>
    <mergeCell ref="N113:P113"/>
    <mergeCell ref="O97:O98"/>
    <mergeCell ref="B51:D51"/>
    <mergeCell ref="C46:F46"/>
    <mergeCell ref="C71:F71"/>
    <mergeCell ref="C91:F91"/>
    <mergeCell ref="F64:G64"/>
    <mergeCell ref="B65:D65"/>
    <mergeCell ref="B58:D58"/>
    <mergeCell ref="B59:D59"/>
    <mergeCell ref="B60:D60"/>
    <mergeCell ref="B67:D67"/>
    <mergeCell ref="B78:D78"/>
    <mergeCell ref="B79:D79"/>
    <mergeCell ref="G76:G77"/>
    <mergeCell ref="B87:D87"/>
    <mergeCell ref="B88:D88"/>
    <mergeCell ref="B89:D89"/>
    <mergeCell ref="B76:D77"/>
    <mergeCell ref="A74:K74"/>
    <mergeCell ref="A94:G94"/>
    <mergeCell ref="A76:A77"/>
    <mergeCell ref="A84:A86"/>
    <mergeCell ref="E84:E86"/>
    <mergeCell ref="F84:F86"/>
    <mergeCell ref="E76:E77"/>
    <mergeCell ref="B80:D80"/>
    <mergeCell ref="B84:D86"/>
    <mergeCell ref="F76:F77"/>
    <mergeCell ref="Q114:V114"/>
    <mergeCell ref="T96:X96"/>
    <mergeCell ref="W95:AC95"/>
    <mergeCell ref="Y96:AC96"/>
    <mergeCell ref="O96:S96"/>
    <mergeCell ref="Z97:AC97"/>
    <mergeCell ref="Q113:V113"/>
    <mergeCell ref="Q110:V112"/>
    <mergeCell ref="F37:G37"/>
    <mergeCell ref="H37:I37"/>
    <mergeCell ref="J37:K37"/>
    <mergeCell ref="Y97:Y98"/>
    <mergeCell ref="P97:S97"/>
    <mergeCell ref="F68:G68"/>
    <mergeCell ref="F69:G69"/>
    <mergeCell ref="F58:G58"/>
    <mergeCell ref="F60:G60"/>
    <mergeCell ref="F59:G59"/>
    <mergeCell ref="F61:G61"/>
    <mergeCell ref="H65:J65"/>
    <mergeCell ref="H66:J66"/>
    <mergeCell ref="H67:J67"/>
    <mergeCell ref="H62:J62"/>
    <mergeCell ref="H64:J64"/>
    <mergeCell ref="T97:T98"/>
    <mergeCell ref="U97:X97"/>
    <mergeCell ref="K97:N97"/>
    <mergeCell ref="I85:L85"/>
    <mergeCell ref="H76:L76"/>
    <mergeCell ref="H7:I7"/>
    <mergeCell ref="H8:I8"/>
    <mergeCell ref="H31:I31"/>
    <mergeCell ref="H30:I30"/>
    <mergeCell ref="H10:I14"/>
    <mergeCell ref="H24:I24"/>
    <mergeCell ref="H27:I27"/>
    <mergeCell ref="H84:L84"/>
    <mergeCell ref="H85:H86"/>
    <mergeCell ref="H69:J69"/>
    <mergeCell ref="H20:I20"/>
    <mergeCell ref="H22:I22"/>
    <mergeCell ref="H26:I26"/>
    <mergeCell ref="H28:I28"/>
    <mergeCell ref="H29:I29"/>
    <mergeCell ref="H23:I23"/>
    <mergeCell ref="H25:I25"/>
    <mergeCell ref="H63:J63"/>
    <mergeCell ref="I53:J53"/>
    <mergeCell ref="A1:I1"/>
    <mergeCell ref="F12:G12"/>
    <mergeCell ref="F11:G11"/>
    <mergeCell ref="F21:G21"/>
    <mergeCell ref="F19:G19"/>
    <mergeCell ref="H17:I17"/>
    <mergeCell ref="H21:I21"/>
    <mergeCell ref="F10:G10"/>
    <mergeCell ref="F7:G7"/>
    <mergeCell ref="F8:G8"/>
    <mergeCell ref="H18:I18"/>
    <mergeCell ref="H19:I19"/>
    <mergeCell ref="F18:G18"/>
    <mergeCell ref="F9:G9"/>
    <mergeCell ref="H16:I16"/>
    <mergeCell ref="F17:G17"/>
    <mergeCell ref="A2:I2"/>
    <mergeCell ref="A4:I4"/>
    <mergeCell ref="A3:I3"/>
    <mergeCell ref="H15:I15"/>
    <mergeCell ref="H9:I9"/>
    <mergeCell ref="G110:G112"/>
    <mergeCell ref="H110:H112"/>
    <mergeCell ref="B53:D53"/>
    <mergeCell ref="B54:D54"/>
    <mergeCell ref="A37:A38"/>
    <mergeCell ref="F13:G13"/>
    <mergeCell ref="F22:G22"/>
    <mergeCell ref="F14:G14"/>
    <mergeCell ref="F15:G15"/>
    <mergeCell ref="F16:G16"/>
    <mergeCell ref="F20:G20"/>
    <mergeCell ref="B37:C37"/>
    <mergeCell ref="D37:E37"/>
    <mergeCell ref="F31:G31"/>
    <mergeCell ref="F29:G29"/>
    <mergeCell ref="F30:G30"/>
    <mergeCell ref="F23:G23"/>
    <mergeCell ref="F25:G25"/>
    <mergeCell ref="G84:G86"/>
    <mergeCell ref="F27:G27"/>
    <mergeCell ref="F28:G28"/>
    <mergeCell ref="A110:A112"/>
    <mergeCell ref="A96:A98"/>
    <mergeCell ref="A82:I82"/>
    <mergeCell ref="N114:P114"/>
    <mergeCell ref="I111:I112"/>
    <mergeCell ref="J111:J112"/>
    <mergeCell ref="I110:M110"/>
    <mergeCell ref="F24:G24"/>
    <mergeCell ref="F66:G66"/>
    <mergeCell ref="F65:G65"/>
    <mergeCell ref="B52:D52"/>
    <mergeCell ref="I51:J51"/>
    <mergeCell ref="I52:J52"/>
    <mergeCell ref="F63:G63"/>
    <mergeCell ref="F62:G62"/>
    <mergeCell ref="B66:D66"/>
    <mergeCell ref="B63:D63"/>
    <mergeCell ref="C33:F33"/>
    <mergeCell ref="B61:D61"/>
    <mergeCell ref="B62:D62"/>
    <mergeCell ref="F26:G26"/>
    <mergeCell ref="F67:G67"/>
    <mergeCell ref="B64:D64"/>
    <mergeCell ref="B68:D68"/>
    <mergeCell ref="B69:D69"/>
    <mergeCell ref="K111:M111"/>
    <mergeCell ref="N110:P112"/>
  </mergeCells>
  <phoneticPr fontId="3" type="noConversion"/>
  <pageMargins left="0.70866141732283472" right="0.19685039370078741" top="0.59055118110236227" bottom="0.59055118110236227" header="0.27559055118110237" footer="0.15748031496062992"/>
  <pageSetup paperSize="9" scale="50" firstPageNumber="9" fitToHeight="0" orientation="landscape" useFirstPageNumber="1" r:id="rId1"/>
  <headerFooter alignWithMargins="0">
    <oddHeader>&amp;R&amp;"Times New Roman,обычный"&amp;14Таблиця 5</oddHeader>
    <oddFooter>&amp;C&amp;P</oddFooter>
  </headerFooter>
  <rowBreaks count="3" manualBreakCount="3">
    <brk id="34" max="16383" man="1"/>
    <brk id="73" max="28" man="1"/>
    <brk id="93" max="28" man="1"/>
  </rowBreaks>
  <colBreaks count="1" manualBreakCount="1">
    <brk id="12" max="11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8:J55"/>
  <sheetViews>
    <sheetView topLeftCell="A24" workbookViewId="0">
      <selection activeCell="B39" sqref="B39"/>
    </sheetView>
  </sheetViews>
  <sheetFormatPr defaultRowHeight="15"/>
  <cols>
    <col min="1" max="1" width="4.140625" customWidth="1"/>
    <col min="2" max="2" width="24.85546875" style="40" customWidth="1"/>
    <col min="3" max="3" width="21.85546875" style="40" customWidth="1"/>
    <col min="4" max="4" width="22.5703125" style="40" customWidth="1"/>
    <col min="5" max="5" width="19.140625" style="40" customWidth="1"/>
    <col min="6" max="6" width="30.5703125" style="40" customWidth="1"/>
    <col min="7" max="7" width="15" style="40" customWidth="1"/>
  </cols>
  <sheetData>
    <row r="8" spans="2:7" ht="31.5">
      <c r="B8" s="41" t="s">
        <v>261</v>
      </c>
      <c r="C8" s="23" t="s">
        <v>198</v>
      </c>
      <c r="D8" s="23" t="s">
        <v>199</v>
      </c>
      <c r="E8" s="23" t="s">
        <v>200</v>
      </c>
      <c r="F8" s="23" t="s">
        <v>201</v>
      </c>
      <c r="G8" s="23" t="s">
        <v>202</v>
      </c>
    </row>
    <row r="9" spans="2:7">
      <c r="B9" s="42" t="s">
        <v>262</v>
      </c>
      <c r="C9" s="42" t="s">
        <v>269</v>
      </c>
      <c r="D9" s="42" t="s">
        <v>273</v>
      </c>
      <c r="E9" s="42" t="s">
        <v>276</v>
      </c>
      <c r="F9" s="42" t="s">
        <v>277</v>
      </c>
      <c r="G9" s="42"/>
    </row>
    <row r="10" spans="2:7">
      <c r="B10" s="42" t="s">
        <v>263</v>
      </c>
      <c r="C10" s="42" t="s">
        <v>270</v>
      </c>
      <c r="D10" s="42" t="s">
        <v>274</v>
      </c>
      <c r="E10" s="42" t="s">
        <v>278</v>
      </c>
      <c r="F10" s="42" t="s">
        <v>280</v>
      </c>
      <c r="G10" s="42"/>
    </row>
    <row r="11" spans="2:7">
      <c r="B11" s="42" t="s">
        <v>264</v>
      </c>
      <c r="C11" s="42" t="s">
        <v>271</v>
      </c>
      <c r="D11" s="42" t="s">
        <v>279</v>
      </c>
      <c r="E11" s="42" t="s">
        <v>278</v>
      </c>
      <c r="F11" s="42" t="s">
        <v>281</v>
      </c>
      <c r="G11" s="42"/>
    </row>
    <row r="12" spans="2:7">
      <c r="B12" s="42" t="s">
        <v>265</v>
      </c>
      <c r="C12" s="42" t="s">
        <v>272</v>
      </c>
      <c r="D12" s="42"/>
      <c r="E12" s="42" t="s">
        <v>282</v>
      </c>
      <c r="F12" s="42" t="s">
        <v>293</v>
      </c>
      <c r="G12" s="42"/>
    </row>
    <row r="13" spans="2:7">
      <c r="B13" s="42" t="s">
        <v>266</v>
      </c>
      <c r="C13" s="42" t="s">
        <v>275</v>
      </c>
      <c r="D13" s="42"/>
      <c r="E13" s="42" t="s">
        <v>283</v>
      </c>
      <c r="F13" s="42" t="s">
        <v>284</v>
      </c>
      <c r="G13" s="42"/>
    </row>
    <row r="14" spans="2:7">
      <c r="B14" s="42" t="s">
        <v>267</v>
      </c>
      <c r="C14" s="42"/>
      <c r="D14" s="42"/>
      <c r="E14" s="42"/>
      <c r="F14" s="42" t="s">
        <v>285</v>
      </c>
      <c r="G14" s="42"/>
    </row>
    <row r="15" spans="2:7">
      <c r="B15" s="42" t="s">
        <v>268</v>
      </c>
      <c r="C15" s="42"/>
      <c r="D15" s="42"/>
      <c r="E15" s="42"/>
      <c r="F15" s="42" t="s">
        <v>286</v>
      </c>
      <c r="G15" s="42"/>
    </row>
    <row r="16" spans="2:7">
      <c r="B16" s="42"/>
      <c r="C16" s="42"/>
      <c r="D16" s="42"/>
      <c r="E16" s="42"/>
      <c r="F16" s="42" t="s">
        <v>287</v>
      </c>
      <c r="G16" s="42"/>
    </row>
    <row r="17" spans="1:10">
      <c r="B17" s="42"/>
      <c r="C17" s="42"/>
      <c r="D17" s="42"/>
      <c r="E17" s="42"/>
      <c r="F17" s="42" t="s">
        <v>288</v>
      </c>
      <c r="G17" s="42"/>
    </row>
    <row r="18" spans="1:10">
      <c r="B18" s="42"/>
      <c r="C18" s="42"/>
      <c r="D18" s="42"/>
      <c r="E18" s="42"/>
      <c r="F18" s="42" t="s">
        <v>289</v>
      </c>
      <c r="G18" s="42"/>
    </row>
    <row r="19" spans="1:10">
      <c r="B19" s="42"/>
      <c r="C19" s="42"/>
      <c r="D19" s="42"/>
      <c r="E19" s="42"/>
      <c r="F19" s="42" t="s">
        <v>290</v>
      </c>
      <c r="G19" s="42"/>
    </row>
    <row r="20" spans="1:10">
      <c r="B20" s="42"/>
      <c r="C20" s="42"/>
      <c r="D20" s="42"/>
      <c r="E20" s="42"/>
      <c r="F20" s="42" t="s">
        <v>291</v>
      </c>
      <c r="G20" s="42"/>
    </row>
    <row r="21" spans="1:10">
      <c r="B21" s="43">
        <v>7</v>
      </c>
      <c r="C21" s="43">
        <v>5</v>
      </c>
      <c r="D21" s="43">
        <v>3</v>
      </c>
      <c r="E21" s="43">
        <v>9</v>
      </c>
      <c r="F21" s="43">
        <v>29</v>
      </c>
      <c r="G21" s="43"/>
    </row>
    <row r="24" spans="1:10">
      <c r="B24" s="40" t="s">
        <v>292</v>
      </c>
      <c r="C24" s="40">
        <f>B21+C21+D21+E21+F21</f>
        <v>53</v>
      </c>
    </row>
    <row r="27" spans="1:10" ht="39" customHeight="1">
      <c r="A27" s="44"/>
      <c r="B27" s="406" t="str">
        <f>'5. Інша інформація'!A16</f>
        <v>Фонд оплати праці, тис. гривень, у тому числі:</v>
      </c>
      <c r="C27" s="406"/>
      <c r="D27" s="47" t="s">
        <v>443</v>
      </c>
      <c r="E27" s="407" t="s">
        <v>309</v>
      </c>
      <c r="F27" s="407"/>
      <c r="G27" s="407"/>
      <c r="H27" s="407"/>
      <c r="I27" s="407"/>
      <c r="J27" s="407"/>
    </row>
    <row r="28" spans="1:10" ht="15.75">
      <c r="A28" s="44">
        <v>1</v>
      </c>
      <c r="B28" s="42" t="s">
        <v>294</v>
      </c>
      <c r="C28" s="42">
        <v>16196.53</v>
      </c>
      <c r="D28" s="42"/>
      <c r="E28" s="408" t="s">
        <v>310</v>
      </c>
      <c r="F28" s="408"/>
      <c r="G28" s="408"/>
      <c r="H28" s="408"/>
      <c r="I28" s="408"/>
      <c r="J28" s="408"/>
    </row>
    <row r="29" spans="1:10">
      <c r="A29" s="44">
        <v>2</v>
      </c>
      <c r="B29" s="52" t="s">
        <v>295</v>
      </c>
      <c r="C29" s="42">
        <v>84246.02</v>
      </c>
      <c r="D29" s="42">
        <v>119.3</v>
      </c>
      <c r="E29" s="40" t="s">
        <v>311</v>
      </c>
      <c r="F29" s="40" t="s">
        <v>312</v>
      </c>
      <c r="G29" s="40" t="s">
        <v>313</v>
      </c>
      <c r="H29" t="s">
        <v>314</v>
      </c>
      <c r="I29" t="s">
        <v>315</v>
      </c>
      <c r="J29" t="s">
        <v>316</v>
      </c>
    </row>
    <row r="30" spans="1:10">
      <c r="A30" s="44">
        <v>3</v>
      </c>
      <c r="B30" s="42" t="s">
        <v>296</v>
      </c>
      <c r="C30" s="42">
        <v>19093.79</v>
      </c>
      <c r="D30" s="42">
        <v>87.9</v>
      </c>
      <c r="E30" s="40" t="s">
        <v>317</v>
      </c>
      <c r="F30" s="40" t="s">
        <v>318</v>
      </c>
      <c r="G30" s="40">
        <v>8559</v>
      </c>
      <c r="H30" t="s">
        <v>319</v>
      </c>
      <c r="I30" t="s">
        <v>320</v>
      </c>
      <c r="J30" t="s">
        <v>321</v>
      </c>
    </row>
    <row r="31" spans="1:10">
      <c r="A31" s="44">
        <v>4</v>
      </c>
      <c r="B31" s="52" t="s">
        <v>297</v>
      </c>
      <c r="C31" s="42">
        <v>74733.27</v>
      </c>
      <c r="D31" s="42">
        <v>78</v>
      </c>
      <c r="E31" s="40" t="s">
        <v>322</v>
      </c>
      <c r="F31" s="40" t="s">
        <v>323</v>
      </c>
      <c r="G31" s="40" t="s">
        <v>324</v>
      </c>
      <c r="H31" t="s">
        <v>304</v>
      </c>
      <c r="I31" t="s">
        <v>325</v>
      </c>
      <c r="J31" t="s">
        <v>326</v>
      </c>
    </row>
    <row r="32" spans="1:10">
      <c r="A32" s="44">
        <v>5</v>
      </c>
      <c r="B32" s="52" t="s">
        <v>298</v>
      </c>
      <c r="C32" s="42">
        <v>68888.13</v>
      </c>
      <c r="D32" s="42">
        <v>90.6</v>
      </c>
      <c r="E32" s="40" t="s">
        <v>327</v>
      </c>
      <c r="F32" s="40" t="s">
        <v>328</v>
      </c>
      <c r="G32" s="40">
        <v>1267</v>
      </c>
      <c r="H32" t="s">
        <v>304</v>
      </c>
      <c r="I32" t="s">
        <v>329</v>
      </c>
      <c r="J32" t="s">
        <v>330</v>
      </c>
    </row>
    <row r="33" spans="1:10">
      <c r="A33" s="44">
        <v>6</v>
      </c>
      <c r="B33" s="52" t="s">
        <v>299</v>
      </c>
      <c r="C33" s="42">
        <v>85189.74</v>
      </c>
      <c r="D33" s="42">
        <v>112.2</v>
      </c>
      <c r="E33" s="40" t="s">
        <v>331</v>
      </c>
      <c r="F33" s="40" t="s">
        <v>332</v>
      </c>
      <c r="G33" s="40" t="s">
        <v>324</v>
      </c>
      <c r="H33" t="s">
        <v>333</v>
      </c>
      <c r="I33" t="s">
        <v>334</v>
      </c>
      <c r="J33" t="s">
        <v>335</v>
      </c>
    </row>
    <row r="34" spans="1:10">
      <c r="A34" s="44">
        <v>7</v>
      </c>
      <c r="B34" s="52" t="s">
        <v>300</v>
      </c>
      <c r="C34" s="42">
        <v>107658.27</v>
      </c>
      <c r="D34" s="42">
        <v>126.8</v>
      </c>
      <c r="E34" s="40" t="s">
        <v>336</v>
      </c>
      <c r="F34" s="40" t="s">
        <v>337</v>
      </c>
      <c r="G34" s="40" t="s">
        <v>324</v>
      </c>
      <c r="H34" t="s">
        <v>304</v>
      </c>
      <c r="I34" t="s">
        <v>338</v>
      </c>
      <c r="J34" t="s">
        <v>339</v>
      </c>
    </row>
    <row r="35" spans="1:10">
      <c r="A35" s="44">
        <v>8</v>
      </c>
      <c r="B35" s="52" t="s">
        <v>301</v>
      </c>
      <c r="C35" s="42">
        <v>74289.87</v>
      </c>
      <c r="D35" s="42">
        <v>87.4</v>
      </c>
      <c r="E35" s="40" t="s">
        <v>340</v>
      </c>
      <c r="F35" s="40" t="s">
        <v>341</v>
      </c>
      <c r="G35" s="40" t="s">
        <v>324</v>
      </c>
      <c r="H35" t="s">
        <v>304</v>
      </c>
      <c r="I35" t="s">
        <v>342</v>
      </c>
      <c r="J35" t="s">
        <v>343</v>
      </c>
    </row>
    <row r="36" spans="1:10">
      <c r="A36" s="44">
        <v>9</v>
      </c>
      <c r="B36" s="42" t="s">
        <v>302</v>
      </c>
      <c r="C36" s="42">
        <v>65801.42</v>
      </c>
      <c r="D36" s="42">
        <v>79.599999999999994</v>
      </c>
      <c r="E36" s="40" t="s">
        <v>344</v>
      </c>
      <c r="F36" s="40" t="s">
        <v>345</v>
      </c>
      <c r="G36" s="40" t="s">
        <v>324</v>
      </c>
      <c r="H36" t="s">
        <v>346</v>
      </c>
      <c r="I36" t="s">
        <v>347</v>
      </c>
      <c r="J36" t="s">
        <v>348</v>
      </c>
    </row>
    <row r="37" spans="1:10">
      <c r="A37" s="44">
        <v>10</v>
      </c>
      <c r="B37" s="42" t="s">
        <v>303</v>
      </c>
      <c r="C37" s="42">
        <v>79825.7</v>
      </c>
      <c r="D37" s="42">
        <v>100</v>
      </c>
      <c r="E37" s="40" t="s">
        <v>349</v>
      </c>
      <c r="F37" s="40" t="s">
        <v>350</v>
      </c>
      <c r="G37" s="40" t="s">
        <v>324</v>
      </c>
      <c r="H37" t="s">
        <v>304</v>
      </c>
      <c r="I37" t="s">
        <v>351</v>
      </c>
      <c r="J37" t="s">
        <v>324</v>
      </c>
    </row>
    <row r="38" spans="1:10">
      <c r="A38" s="44">
        <v>11</v>
      </c>
      <c r="B38" s="42" t="s">
        <v>305</v>
      </c>
      <c r="C38" s="42">
        <v>33262.07</v>
      </c>
      <c r="D38" s="42">
        <v>43.3</v>
      </c>
      <c r="E38" s="40" t="s">
        <v>352</v>
      </c>
      <c r="F38" s="40" t="s">
        <v>324</v>
      </c>
      <c r="G38" s="40" t="s">
        <v>324</v>
      </c>
      <c r="H38" t="s">
        <v>304</v>
      </c>
      <c r="I38" t="s">
        <v>324</v>
      </c>
      <c r="J38" t="s">
        <v>324</v>
      </c>
    </row>
    <row r="39" spans="1:10">
      <c r="A39" s="44">
        <v>12</v>
      </c>
      <c r="B39" s="42" t="s">
        <v>306</v>
      </c>
      <c r="C39" s="42">
        <v>59360.93</v>
      </c>
      <c r="D39" s="42">
        <v>67.599999999999994</v>
      </c>
      <c r="E39" s="40" t="s">
        <v>353</v>
      </c>
      <c r="F39" s="40" t="s">
        <v>354</v>
      </c>
      <c r="G39" s="40" t="s">
        <v>324</v>
      </c>
      <c r="H39" t="s">
        <v>304</v>
      </c>
      <c r="I39" t="s">
        <v>324</v>
      </c>
      <c r="J39" t="s">
        <v>324</v>
      </c>
    </row>
    <row r="40" spans="1:10" ht="15.75">
      <c r="A40" s="44">
        <v>13</v>
      </c>
      <c r="B40" s="42" t="s">
        <v>307</v>
      </c>
      <c r="C40" s="42">
        <f>SUM(C28:C39)</f>
        <v>768545.74</v>
      </c>
      <c r="D40" s="48">
        <f>SUM(D28:D39)</f>
        <v>992.69999999999993</v>
      </c>
      <c r="E40" s="40" t="s">
        <v>355</v>
      </c>
      <c r="F40" s="40" t="s">
        <v>356</v>
      </c>
      <c r="G40" s="40" t="s">
        <v>324</v>
      </c>
      <c r="H40" t="s">
        <v>357</v>
      </c>
      <c r="I40" t="s">
        <v>324</v>
      </c>
      <c r="J40" t="s">
        <v>324</v>
      </c>
    </row>
    <row r="41" spans="1:10">
      <c r="A41" s="44">
        <v>14</v>
      </c>
      <c r="B41" s="42" t="s">
        <v>308</v>
      </c>
      <c r="C41" s="42">
        <f>C40/9*12</f>
        <v>1024727.6533333333</v>
      </c>
      <c r="D41" s="42"/>
      <c r="E41" s="40" t="s">
        <v>358</v>
      </c>
      <c r="F41" s="40" t="s">
        <v>359</v>
      </c>
      <c r="G41" s="40">
        <v>53</v>
      </c>
      <c r="H41" t="s">
        <v>360</v>
      </c>
      <c r="I41" t="s">
        <v>324</v>
      </c>
      <c r="J41" t="s">
        <v>324</v>
      </c>
    </row>
    <row r="42" spans="1:10">
      <c r="E42" s="40" t="s">
        <v>361</v>
      </c>
      <c r="F42" s="40" t="s">
        <v>362</v>
      </c>
      <c r="G42" s="40" t="s">
        <v>324</v>
      </c>
      <c r="H42" t="s">
        <v>304</v>
      </c>
      <c r="I42" t="s">
        <v>324</v>
      </c>
      <c r="J42" t="s">
        <v>324</v>
      </c>
    </row>
    <row r="43" spans="1:10">
      <c r="E43" s="40" t="s">
        <v>363</v>
      </c>
      <c r="F43" s="40" t="s">
        <v>364</v>
      </c>
      <c r="G43" s="40" t="s">
        <v>324</v>
      </c>
      <c r="H43" t="s">
        <v>304</v>
      </c>
      <c r="I43" t="s">
        <v>324</v>
      </c>
      <c r="J43" t="s">
        <v>324</v>
      </c>
    </row>
    <row r="44" spans="1:10">
      <c r="E44" s="40" t="s">
        <v>365</v>
      </c>
      <c r="F44" s="40" t="s">
        <v>366</v>
      </c>
      <c r="G44" s="40" t="s">
        <v>324</v>
      </c>
      <c r="H44" t="s">
        <v>367</v>
      </c>
      <c r="I44" t="s">
        <v>324</v>
      </c>
      <c r="J44" t="s">
        <v>324</v>
      </c>
    </row>
    <row r="45" spans="1:10">
      <c r="E45" s="40" t="s">
        <v>368</v>
      </c>
      <c r="F45" s="40" t="s">
        <v>369</v>
      </c>
      <c r="G45" s="40" t="s">
        <v>324</v>
      </c>
      <c r="H45" t="s">
        <v>370</v>
      </c>
      <c r="I45" t="s">
        <v>324</v>
      </c>
      <c r="J45" t="s">
        <v>324</v>
      </c>
    </row>
    <row r="46" spans="1:10">
      <c r="E46" s="40" t="s">
        <v>349</v>
      </c>
      <c r="F46" s="40" t="s">
        <v>371</v>
      </c>
      <c r="G46" s="40" t="s">
        <v>324</v>
      </c>
      <c r="H46" t="s">
        <v>304</v>
      </c>
      <c r="I46" t="s">
        <v>324</v>
      </c>
      <c r="J46" t="s">
        <v>324</v>
      </c>
    </row>
    <row r="47" spans="1:10">
      <c r="E47" s="40" t="s">
        <v>372</v>
      </c>
      <c r="F47" s="40" t="s">
        <v>373</v>
      </c>
      <c r="G47" s="40">
        <v>4</v>
      </c>
      <c r="H47" t="s">
        <v>304</v>
      </c>
      <c r="I47" t="s">
        <v>324</v>
      </c>
      <c r="J47" t="s">
        <v>324</v>
      </c>
    </row>
    <row r="48" spans="1:10">
      <c r="E48" s="40" t="s">
        <v>374</v>
      </c>
      <c r="F48" s="40" t="s">
        <v>324</v>
      </c>
      <c r="G48" s="40">
        <v>3</v>
      </c>
      <c r="H48" t="s">
        <v>304</v>
      </c>
      <c r="I48" t="s">
        <v>324</v>
      </c>
      <c r="J48" t="s">
        <v>324</v>
      </c>
    </row>
    <row r="49" spans="5:10">
      <c r="E49" s="40" t="s">
        <v>375</v>
      </c>
      <c r="F49" s="40" t="s">
        <v>376</v>
      </c>
      <c r="G49" s="40" t="s">
        <v>324</v>
      </c>
      <c r="H49" t="s">
        <v>304</v>
      </c>
      <c r="I49" t="s">
        <v>324</v>
      </c>
      <c r="J49" t="s">
        <v>324</v>
      </c>
    </row>
    <row r="50" spans="5:10">
      <c r="E50" s="40" t="s">
        <v>377</v>
      </c>
      <c r="F50" s="40" t="s">
        <v>378</v>
      </c>
      <c r="G50" s="40">
        <v>21</v>
      </c>
      <c r="H50" t="s">
        <v>304</v>
      </c>
      <c r="I50" t="s">
        <v>324</v>
      </c>
      <c r="J50" t="s">
        <v>324</v>
      </c>
    </row>
    <row r="51" spans="5:10">
      <c r="E51" s="40" t="s">
        <v>379</v>
      </c>
      <c r="F51" s="40" t="s">
        <v>380</v>
      </c>
      <c r="G51" s="40">
        <v>17</v>
      </c>
      <c r="H51" t="s">
        <v>304</v>
      </c>
      <c r="I51" t="s">
        <v>324</v>
      </c>
      <c r="J51" t="s">
        <v>324</v>
      </c>
    </row>
    <row r="52" spans="5:10">
      <c r="E52" s="40" t="s">
        <v>381</v>
      </c>
      <c r="F52" s="40" t="s">
        <v>382</v>
      </c>
      <c r="G52" s="40">
        <v>78</v>
      </c>
      <c r="H52" t="s">
        <v>304</v>
      </c>
      <c r="I52" t="s">
        <v>324</v>
      </c>
      <c r="J52" t="s">
        <v>324</v>
      </c>
    </row>
    <row r="53" spans="5:10">
      <c r="E53" s="40" t="s">
        <v>383</v>
      </c>
      <c r="F53" s="40" t="s">
        <v>384</v>
      </c>
      <c r="G53" s="40" t="s">
        <v>324</v>
      </c>
      <c r="H53" t="s">
        <v>304</v>
      </c>
      <c r="I53" t="s">
        <v>324</v>
      </c>
      <c r="J53" t="s">
        <v>324</v>
      </c>
    </row>
    <row r="54" spans="5:10">
      <c r="E54" s="40" t="s">
        <v>385</v>
      </c>
      <c r="F54" s="40" t="s">
        <v>386</v>
      </c>
      <c r="G54" s="40" t="s">
        <v>324</v>
      </c>
      <c r="H54" t="s">
        <v>304</v>
      </c>
      <c r="I54" t="s">
        <v>324</v>
      </c>
      <c r="J54" t="s">
        <v>324</v>
      </c>
    </row>
    <row r="55" spans="5:10">
      <c r="E55" s="40" t="s">
        <v>387</v>
      </c>
      <c r="F55" s="40">
        <v>2282050.7000000002</v>
      </c>
      <c r="G55" s="40">
        <v>10002</v>
      </c>
      <c r="H55" t="s">
        <v>388</v>
      </c>
      <c r="I55" t="s">
        <v>389</v>
      </c>
      <c r="J55" t="s">
        <v>390</v>
      </c>
    </row>
  </sheetData>
  <mergeCells count="3">
    <mergeCell ref="B27:C27"/>
    <mergeCell ref="E27:J27"/>
    <mergeCell ref="E28:J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7"/>
  <sheetViews>
    <sheetView view="pageBreakPreview" zoomScale="60" zoomScaleNormal="100" workbookViewId="0">
      <selection activeCell="L23" sqref="L23"/>
    </sheetView>
  </sheetViews>
  <sheetFormatPr defaultRowHeight="12.75"/>
  <cols>
    <col min="1" max="1" width="41.42578125" customWidth="1"/>
    <col min="2" max="2" width="12.7109375" customWidth="1"/>
    <col min="3" max="3" width="12" customWidth="1"/>
    <col min="4" max="5" width="14.28515625" customWidth="1"/>
    <col min="6" max="6" width="17" customWidth="1"/>
    <col min="7" max="7" width="13.5703125" customWidth="1"/>
    <col min="10" max="10" width="9.140625" customWidth="1"/>
    <col min="11" max="11" width="12.7109375" customWidth="1"/>
    <col min="12" max="12" width="26.85546875" customWidth="1"/>
  </cols>
  <sheetData>
    <row r="3" spans="1:13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3" ht="15.75">
      <c r="A5" s="40" t="s">
        <v>527</v>
      </c>
      <c r="B5" s="142" t="s">
        <v>529</v>
      </c>
      <c r="C5" s="141" t="s">
        <v>530</v>
      </c>
      <c r="D5" s="142" t="s">
        <v>535</v>
      </c>
      <c r="E5" s="142" t="s">
        <v>536</v>
      </c>
      <c r="F5" s="142" t="s">
        <v>534</v>
      </c>
      <c r="G5" s="40"/>
      <c r="H5" s="40"/>
      <c r="I5" s="40"/>
      <c r="J5" s="40"/>
      <c r="K5" s="40"/>
    </row>
    <row r="6" spans="1:13" ht="15.75">
      <c r="A6" s="40"/>
      <c r="B6" s="40"/>
      <c r="C6" s="141"/>
      <c r="D6" s="40"/>
      <c r="E6" s="40"/>
      <c r="F6" s="40"/>
      <c r="G6" s="40"/>
      <c r="H6" s="40"/>
      <c r="I6" s="40"/>
      <c r="J6" s="40"/>
      <c r="K6" s="40"/>
    </row>
    <row r="7" spans="1:13" ht="15.75">
      <c r="A7" s="40" t="s">
        <v>446</v>
      </c>
      <c r="B7" s="40"/>
      <c r="C7" s="141"/>
      <c r="D7" s="40">
        <f>SUM(D8:D10)</f>
        <v>2667315</v>
      </c>
      <c r="E7" s="40">
        <f>SUM(E8:E10)</f>
        <v>8001945</v>
      </c>
      <c r="F7" s="40">
        <f>SUM(F8:F10)</f>
        <v>32007780</v>
      </c>
      <c r="G7" s="143">
        <f>F7/1000</f>
        <v>32007.78</v>
      </c>
      <c r="H7" s="40"/>
      <c r="I7" s="40"/>
      <c r="J7" s="40"/>
      <c r="K7" s="40"/>
      <c r="L7" t="s">
        <v>568</v>
      </c>
      <c r="M7">
        <v>333.2</v>
      </c>
    </row>
    <row r="8" spans="1:13" ht="15.75">
      <c r="A8" s="144" t="s">
        <v>531</v>
      </c>
      <c r="B8" s="40">
        <f>29000+6000+3000</f>
        <v>38000</v>
      </c>
      <c r="C8" s="141">
        <v>57.66</v>
      </c>
      <c r="D8" s="40">
        <f>B8*C8</f>
        <v>2191080</v>
      </c>
      <c r="E8" s="40">
        <f>D8*3</f>
        <v>6573240</v>
      </c>
      <c r="F8" s="40">
        <f>D8*12</f>
        <v>26292960</v>
      </c>
      <c r="G8" s="143">
        <f t="shared" ref="G8:G16" si="0">F8/1000</f>
        <v>26292.959999999999</v>
      </c>
      <c r="H8" s="40"/>
      <c r="I8" s="40"/>
      <c r="J8" s="40"/>
      <c r="K8" s="40"/>
      <c r="L8" t="s">
        <v>549</v>
      </c>
      <c r="M8">
        <v>73.2</v>
      </c>
    </row>
    <row r="9" spans="1:13" ht="15.75">
      <c r="A9" s="144" t="s">
        <v>532</v>
      </c>
      <c r="B9" s="40">
        <v>2000</v>
      </c>
      <c r="C9" s="141">
        <v>60.22</v>
      </c>
      <c r="D9" s="40">
        <f>B9*C9</f>
        <v>120440</v>
      </c>
      <c r="E9" s="40">
        <f t="shared" ref="E9:E14" si="1">D9*3</f>
        <v>361320</v>
      </c>
      <c r="F9" s="40">
        <f>D9*12</f>
        <v>1445280</v>
      </c>
      <c r="G9" s="143">
        <f t="shared" si="0"/>
        <v>1445.28</v>
      </c>
      <c r="H9" s="40"/>
      <c r="I9" s="40"/>
      <c r="J9" s="40"/>
      <c r="K9" s="40"/>
      <c r="L9" t="s">
        <v>569</v>
      </c>
      <c r="M9">
        <v>599.20000000000005</v>
      </c>
    </row>
    <row r="10" spans="1:13" ht="15.75">
      <c r="A10" s="144" t="s">
        <v>533</v>
      </c>
      <c r="B10" s="40">
        <v>5500</v>
      </c>
      <c r="C10" s="141">
        <v>64.69</v>
      </c>
      <c r="D10" s="40">
        <f>B10*C10</f>
        <v>355795</v>
      </c>
      <c r="E10" s="40">
        <f t="shared" si="1"/>
        <v>1067385</v>
      </c>
      <c r="F10" s="40">
        <f>D10*12</f>
        <v>4269540</v>
      </c>
      <c r="G10" s="143">
        <f t="shared" si="0"/>
        <v>4269.54</v>
      </c>
      <c r="H10" s="40"/>
      <c r="I10" s="40"/>
      <c r="J10" s="40"/>
      <c r="K10" s="40"/>
      <c r="L10" t="s">
        <v>570</v>
      </c>
      <c r="M10" s="128">
        <v>68.400000000000006</v>
      </c>
    </row>
    <row r="11" spans="1:13" ht="15.75">
      <c r="A11" s="144"/>
      <c r="B11" s="40"/>
      <c r="C11" s="141"/>
      <c r="D11" s="40"/>
      <c r="E11" s="40"/>
      <c r="F11" s="40"/>
      <c r="G11" s="40"/>
      <c r="H11" s="40"/>
      <c r="I11" s="40"/>
      <c r="J11" s="40"/>
      <c r="K11" s="40"/>
      <c r="M11" s="55">
        <f>SUM(M7:M10)</f>
        <v>1074</v>
      </c>
    </row>
    <row r="12" spans="1:13" ht="15.75">
      <c r="A12" s="40" t="s">
        <v>447</v>
      </c>
      <c r="B12" s="40">
        <v>8500</v>
      </c>
      <c r="C12" s="141">
        <v>7.1</v>
      </c>
      <c r="D12" s="40">
        <f>B12*C12</f>
        <v>60350</v>
      </c>
      <c r="E12" s="40">
        <f t="shared" si="1"/>
        <v>181050</v>
      </c>
      <c r="F12" s="40">
        <f>D12*12</f>
        <v>724200</v>
      </c>
      <c r="G12" s="143">
        <f t="shared" si="0"/>
        <v>724.2</v>
      </c>
      <c r="H12" s="40"/>
      <c r="I12" s="40"/>
      <c r="J12" s="40"/>
      <c r="K12" s="40"/>
    </row>
    <row r="13" spans="1:13" ht="15.75">
      <c r="A13" s="40"/>
      <c r="B13" s="40"/>
      <c r="C13" s="141"/>
      <c r="D13" s="40"/>
      <c r="E13" s="40"/>
      <c r="F13" s="40"/>
      <c r="G13" s="40"/>
      <c r="H13" s="40"/>
      <c r="I13" s="40"/>
      <c r="J13" s="40"/>
      <c r="K13" s="40"/>
    </row>
    <row r="14" spans="1:13" ht="15.75">
      <c r="A14" s="40" t="s">
        <v>448</v>
      </c>
      <c r="B14" s="40">
        <v>600</v>
      </c>
      <c r="C14" s="141">
        <v>66.680000000000007</v>
      </c>
      <c r="D14" s="40">
        <f>C14*B14</f>
        <v>40008.000000000007</v>
      </c>
      <c r="E14" s="40">
        <f t="shared" si="1"/>
        <v>120024.00000000003</v>
      </c>
      <c r="F14" s="40">
        <f>D14*12</f>
        <v>480096.00000000012</v>
      </c>
      <c r="G14" s="40">
        <f t="shared" si="0"/>
        <v>480.09600000000012</v>
      </c>
      <c r="H14" s="40"/>
      <c r="I14" s="40"/>
      <c r="J14" s="40"/>
      <c r="K14" s="40"/>
    </row>
    <row r="15" spans="1:13" ht="15.75">
      <c r="A15" s="40"/>
      <c r="B15" s="40">
        <f>600*12</f>
        <v>7200</v>
      </c>
      <c r="C15" s="141">
        <v>10.17</v>
      </c>
      <c r="D15" s="40">
        <f>B15*C15</f>
        <v>73224</v>
      </c>
      <c r="E15" s="40"/>
      <c r="F15" s="40"/>
      <c r="G15" s="40"/>
      <c r="H15" s="40"/>
      <c r="I15" s="40"/>
      <c r="J15" s="40"/>
      <c r="K15" s="40"/>
    </row>
    <row r="16" spans="1:13" ht="15">
      <c r="A16" s="40" t="s">
        <v>528</v>
      </c>
      <c r="B16" s="40"/>
      <c r="C16" s="40"/>
      <c r="D16" s="40"/>
      <c r="E16" s="40">
        <f>F16/4</f>
        <v>268.5</v>
      </c>
      <c r="F16" s="40">
        <f>64.8+1009.2</f>
        <v>1074</v>
      </c>
      <c r="G16" s="40">
        <f t="shared" si="0"/>
        <v>1.0740000000000001</v>
      </c>
      <c r="H16" s="40"/>
      <c r="I16" s="40" t="s">
        <v>560</v>
      </c>
      <c r="J16" s="40"/>
      <c r="K16" s="40"/>
    </row>
    <row r="17" spans="1:11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>
      <c r="A19" s="40" t="s">
        <v>561</v>
      </c>
      <c r="B19" s="40">
        <v>600000</v>
      </c>
      <c r="C19" s="40">
        <v>32.700000000000003</v>
      </c>
      <c r="D19" s="40"/>
      <c r="E19" s="40"/>
      <c r="F19" s="143">
        <f>B19*C19</f>
        <v>19620000</v>
      </c>
      <c r="G19" s="40">
        <f>F19/1000</f>
        <v>19620</v>
      </c>
      <c r="H19" s="40"/>
      <c r="I19" s="40"/>
      <c r="J19" s="40"/>
      <c r="K19" s="40"/>
    </row>
    <row r="20" spans="1:1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>
      <c r="A21" s="40" t="str">
        <f>A12</f>
        <v>Від захоронення ТПВ по талонах</v>
      </c>
      <c r="B21" s="40">
        <f>B12</f>
        <v>8500</v>
      </c>
      <c r="C21" s="40">
        <v>7.13</v>
      </c>
      <c r="D21" s="40"/>
      <c r="E21" s="40"/>
      <c r="F21" s="40">
        <f>B21*C21*12</f>
        <v>727260</v>
      </c>
      <c r="G21" s="40">
        <f>F21/1000</f>
        <v>727.26</v>
      </c>
      <c r="H21" s="40"/>
      <c r="I21" s="40"/>
      <c r="J21" s="40"/>
      <c r="K21" s="40"/>
    </row>
    <row r="22" spans="1:1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.75">
      <c r="A24" s="40" t="s">
        <v>527</v>
      </c>
      <c r="B24" s="142" t="s">
        <v>529</v>
      </c>
      <c r="C24" s="141" t="s">
        <v>530</v>
      </c>
      <c r="D24" s="142" t="s">
        <v>535</v>
      </c>
      <c r="E24" s="142" t="s">
        <v>536</v>
      </c>
      <c r="F24" s="142" t="s">
        <v>534</v>
      </c>
      <c r="G24" s="40"/>
      <c r="H24" s="40"/>
      <c r="I24" s="40"/>
      <c r="J24" s="40"/>
      <c r="K24" s="40"/>
    </row>
    <row r="25" spans="1:11" ht="15.75">
      <c r="A25" s="40"/>
      <c r="B25" s="40"/>
      <c r="C25" s="141"/>
      <c r="D25" s="40"/>
      <c r="E25" s="40"/>
      <c r="F25" s="40"/>
      <c r="G25" s="40"/>
      <c r="H25" s="40"/>
      <c r="I25" s="40"/>
      <c r="J25" s="40"/>
      <c r="K25" s="40"/>
    </row>
    <row r="26" spans="1:11" ht="15.75">
      <c r="A26" s="40" t="s">
        <v>446</v>
      </c>
      <c r="B26" s="40"/>
      <c r="C26" s="141"/>
      <c r="D26" s="40">
        <f>SUM(D27:D29)</f>
        <v>315717.07792207727</v>
      </c>
      <c r="E26" s="40">
        <f>SUM(E27:E29)</f>
        <v>947151.2337662318</v>
      </c>
      <c r="F26" s="40">
        <f>SUM(F27:F29)</f>
        <v>3788604.9350649272</v>
      </c>
      <c r="G26" s="143">
        <f>F26/1000</f>
        <v>3788.6049350649273</v>
      </c>
      <c r="H26" s="40"/>
      <c r="I26" s="40"/>
      <c r="J26" s="40"/>
      <c r="K26" s="40"/>
    </row>
    <row r="27" spans="1:11" ht="15.75">
      <c r="A27" s="144" t="s">
        <v>531</v>
      </c>
      <c r="B27" s="40">
        <f>29000+6000+3000</f>
        <v>38000</v>
      </c>
      <c r="C27" s="141">
        <v>8.3083441558441393</v>
      </c>
      <c r="D27" s="40">
        <f>B27*C27</f>
        <v>315717.07792207727</v>
      </c>
      <c r="E27" s="40">
        <f>D27*3</f>
        <v>947151.2337662318</v>
      </c>
      <c r="F27" s="40">
        <f>D27*12</f>
        <v>3788604.9350649272</v>
      </c>
      <c r="G27" s="143">
        <f>F27/1000</f>
        <v>3788.6049350649273</v>
      </c>
      <c r="H27" s="40"/>
      <c r="I27" s="40"/>
      <c r="J27" s="40"/>
      <c r="K27" s="40"/>
    </row>
  </sheetData>
  <pageMargins left="0.7" right="0.7" top="0.75" bottom="0.75" header="0.3" footer="0.3"/>
  <pageSetup paperSize="9" scale="57" orientation="portrait" r:id="rId1"/>
  <colBreaks count="1" manualBreakCount="1">
    <brk id="1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Фінплан - зведені показники</vt:lpstr>
      <vt:lpstr>1.Фінансовий результат</vt:lpstr>
      <vt:lpstr>Лист1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Перелік посад</vt:lpstr>
      <vt:lpstr>Вих дані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'Вих дані'!Область_печати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Jenya</cp:lastModifiedBy>
  <cp:lastPrinted>2019-09-17T07:36:22Z</cp:lastPrinted>
  <dcterms:created xsi:type="dcterms:W3CDTF">2003-03-13T16:00:22Z</dcterms:created>
  <dcterms:modified xsi:type="dcterms:W3CDTF">2019-09-17T07:36:54Z</dcterms:modified>
</cp:coreProperties>
</file>